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3.xml"/>
  <Override ContentType="application/vnd.openxmlformats-officedocument.spreadsheetml.table+xml" PartName="/xl/tables/table4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3.xml"/>
  <Override ContentType="application/vnd.openxmlformats-officedocument.spreadsheetml.table+xml" PartName="/xl/tables/table10.xml"/>
  <Override ContentType="application/vnd.openxmlformats-officedocument.spreadsheetml.table+xml" PartName="/xl/tables/table7.xml"/>
  <Override ContentType="application/vnd.openxmlformats-officedocument.spreadsheetml.table+xml" PartName="/xl/tables/table14.xml"/>
  <Override ContentType="application/vnd.openxmlformats-officedocument.spreadsheetml.table+xml" PartName="/xl/tables/table12.xml"/>
  <Override ContentType="application/vnd.openxmlformats-officedocument.spreadsheetml.table+xml" PartName="/xl/tables/table9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мета" sheetId="1" r:id="rId3"/>
    <sheet state="visible" name="Лист8" sheetId="2" r:id="rId4"/>
    <sheet state="visible" name="Лист9" sheetId="3" r:id="rId5"/>
    <sheet state="visible" name="Примечания" sheetId="4" r:id="rId6"/>
  </sheets>
  <definedNames>
    <definedName localSheetId="0" name="USD">'Смета'!$J$220</definedName>
    <definedName name="GBP">#REF!</definedName>
    <definedName localSheetId="0" name="EUR">'Смета'!$J$219</definedName>
    <definedName localSheetId="0" name="GBP">'Смета'!$J$221</definedName>
    <definedName name="USD">#REF!</definedName>
    <definedName name="EUR">#REF!</definedName>
    <definedName name="Клиент">'Смета'!$B$6:$AC$233</definedName>
  </definedNames>
  <calcPr/>
</workbook>
</file>

<file path=xl/sharedStrings.xml><?xml version="1.0" encoding="utf-8"?>
<sst xmlns="http://schemas.openxmlformats.org/spreadsheetml/2006/main" count="1964" uniqueCount="428">
  <si>
    <t>СМЕТА – ГРАНД-БЮДЖЕТ ПРОЕКТА ПО МАТЕРИАЛАМ ДЛЯ ЧИСТОВОЙ ОТДЕЛКИ ОБЪЕКТА, ОСВЕТИТЕЛЬНЫМ ПРИБОРАМ, ВЫКЛЮЧАТЕЛЯМ И РОЗЕТКАМ, МЕБЕЛИ И ОБОРУДОВАНИЮ, СОСТАВЛЕННЫЙ ПО УТВЕРЖДЕННОМУ ДИЗАЙН-ПРОЕКТУ</t>
  </si>
  <si>
    <t xml:space="preserve">адрес объекта: </t>
  </si>
  <si>
    <t xml:space="preserve">
Номер помещения/ ID</t>
  </si>
  <si>
    <t xml:space="preserve">
ID элемента </t>
  </si>
  <si>
    <t xml:space="preserve">ID элемента </t>
  </si>
  <si>
    <t xml:space="preserve">
Наименование</t>
  </si>
  <si>
    <t>Поставщик</t>
  </si>
  <si>
    <t xml:space="preserve">
Поставщик</t>
  </si>
  <si>
    <t xml:space="preserve">
Модель,
артикул</t>
  </si>
  <si>
    <t xml:space="preserve">
Размеры, мм</t>
  </si>
  <si>
    <t xml:space="preserve">
Отделка, цвет</t>
  </si>
  <si>
    <t xml:space="preserve">
Ед. изм.</t>
  </si>
  <si>
    <t xml:space="preserve">
Кол-во</t>
  </si>
  <si>
    <t xml:space="preserve">
Подсчет запаса отделки</t>
  </si>
  <si>
    <t xml:space="preserve">
Подсчет плинтусов, карнизов, молдингов</t>
  </si>
  <si>
    <t xml:space="preserve">
Вариант 
</t>
  </si>
  <si>
    <t xml:space="preserve">
Что включено</t>
  </si>
  <si>
    <t>Ед. изм.</t>
  </si>
  <si>
    <t>Кол-во</t>
  </si>
  <si>
    <t>Вариант</t>
  </si>
  <si>
    <t>Что включено</t>
  </si>
  <si>
    <t xml:space="preserve">
Цена за ед.</t>
  </si>
  <si>
    <t xml:space="preserve">
Валюта</t>
  </si>
  <si>
    <t xml:space="preserve">
Цена за ед. в ₽</t>
  </si>
  <si>
    <t xml:space="preserve">
Итого  в ₽</t>
  </si>
  <si>
    <t xml:space="preserve">
Скидка</t>
  </si>
  <si>
    <t xml:space="preserve">
Сумма  с учетом скидки</t>
  </si>
  <si>
    <t>Сроки доставки, примечания</t>
  </si>
  <si>
    <t>Информация об оплате</t>
  </si>
  <si>
    <t>Размер оплаты</t>
  </si>
  <si>
    <t>Доставка на объект</t>
  </si>
  <si>
    <t>Бонус дизайнерам</t>
  </si>
  <si>
    <t xml:space="preserve">
Сумма бонуса дизайнерам</t>
  </si>
  <si>
    <t>номер как в схемах</t>
  </si>
  <si>
    <t>ссылка</t>
  </si>
  <si>
    <t>без запаса</t>
  </si>
  <si>
    <t>для отделки: запас (%)</t>
  </si>
  <si>
    <t>итого кол-во с запасом</t>
  </si>
  <si>
    <t xml:space="preserve">
Длина/площадь в 1 штуке</t>
  </si>
  <si>
    <t xml:space="preserve">
Кол-во штук</t>
  </si>
  <si>
    <t>основной / дополнительный</t>
  </si>
  <si>
    <t>дизайнерская</t>
  </si>
  <si>
    <t>%</t>
  </si>
  <si>
    <t>ОТДЕЛОЧНЫЕ МАТЕРИАЛЫ
обои, камень, плитка, подоконники</t>
  </si>
  <si>
    <t>01 прихожая</t>
  </si>
  <si>
    <t>П-01-01</t>
  </si>
  <si>
    <t>пол плитка тип 1: под дерево</t>
  </si>
  <si>
    <t>Mosplitka, Creto Gevorg Latte</t>
  </si>
  <si>
    <t>м.кв.</t>
  </si>
  <si>
    <t>Основа</t>
  </si>
  <si>
    <t>Плитка (без затирки)</t>
  </si>
  <si>
    <t>RUB</t>
  </si>
  <si>
    <t>02 санузел родит.</t>
  </si>
  <si>
    <t>П-02-01</t>
  </si>
  <si>
    <t>пол плитка тип  2: под бетон беж</t>
  </si>
  <si>
    <t>Mosplitka, Italon Айрон</t>
  </si>
  <si>
    <t>04 санузел</t>
  </si>
  <si>
    <t>П-04-01</t>
  </si>
  <si>
    <t>пол плитка тип 3: под бетон серый</t>
  </si>
  <si>
    <t>Mosplitka, Italon Сильвер</t>
  </si>
  <si>
    <t>П-04-02</t>
  </si>
  <si>
    <t>стены плитка тип 2: под бетон серый</t>
  </si>
  <si>
    <t>Мосплитка</t>
  </si>
  <si>
    <t>ОТД-02-01</t>
  </si>
  <si>
    <t>стены плитка тип 2: под бетон беж</t>
  </si>
  <si>
    <t>ОТД-02-02</t>
  </si>
  <si>
    <t>стены плитка тип 1: под мрамор</t>
  </si>
  <si>
    <t xml:space="preserve"> Mosplitka, Creto Avenzo Silver</t>
  </si>
  <si>
    <t>ОТД-02-03</t>
  </si>
  <si>
    <t>стены штукатурка (в том числе нанесение штук.на скрытые двери)</t>
  </si>
  <si>
    <t>Loggia</t>
  </si>
  <si>
    <t>цвет подобрать по выкрасам</t>
  </si>
  <si>
    <t>Только изделие</t>
  </si>
  <si>
    <t>ОТД-01-01</t>
  </si>
  <si>
    <t>05 кухня-гостиная</t>
  </si>
  <si>
    <t>ОТД-05-01</t>
  </si>
  <si>
    <t>ОТД-01-01
ОТД-05-01</t>
  </si>
  <si>
    <t>работы по нанесению штукатурки</t>
  </si>
  <si>
    <t>Работы по устройству отделки</t>
  </si>
  <si>
    <t>подоконники</t>
  </si>
  <si>
    <t>Станислав, частный мастер</t>
  </si>
  <si>
    <t>шт</t>
  </si>
  <si>
    <t>06 детская Элина</t>
  </si>
  <si>
    <t>стены художественная роспись</t>
  </si>
  <si>
    <t>Наташа Барельефовна</t>
  </si>
  <si>
    <r>
      <rPr>
        <rFont val="Manrope"/>
        <sz val="12.0"/>
      </rPr>
      <t xml:space="preserve">ОТДЕЛОЧНЫЕ МАТЕРИАЛЫ 
</t>
    </r>
    <r>
      <rPr>
        <rFont val="Manrope"/>
        <sz val="10.0"/>
      </rPr>
      <t>паркет</t>
    </r>
  </si>
  <si>
    <t>пол паркет</t>
  </si>
  <si>
    <t>ОлимпПаркет</t>
  </si>
  <si>
    <t>теплый, ближе к рыжему, соотнести оттенки паркета и стен</t>
  </si>
  <si>
    <t>03 спальня</t>
  </si>
  <si>
    <t>П-03-01</t>
  </si>
  <si>
    <t>Перечень для подсчета</t>
  </si>
  <si>
    <t>П-01-02</t>
  </si>
  <si>
    <t>П-05-01</t>
  </si>
  <si>
    <t>доставка</t>
  </si>
  <si>
    <t>П-06-01</t>
  </si>
  <si>
    <t>07 детская Мадина</t>
  </si>
  <si>
    <t>П-07-01</t>
  </si>
  <si>
    <t>Форбо 026 Euroblock Multi блокирующая грунтовка 6кг (для стяжки)</t>
  </si>
  <si>
    <t>Клей для паркета UZIN МК 160 (16кг) (для приклеивания инженерной доски к стяжке)</t>
  </si>
  <si>
    <t>пол доска комплектующие: доставка/монтаж</t>
  </si>
  <si>
    <r>
      <rPr>
        <rFont val="Manrope"/>
        <sz val="12.0"/>
      </rPr>
      <t xml:space="preserve">ОТДЕЛОЧНЫЕ МАТЕРИАЛЫ 
</t>
    </r>
    <r>
      <rPr>
        <rFont val="Manrope"/>
        <sz val="10.0"/>
      </rPr>
      <t>краска, грунтовка</t>
    </r>
  </si>
  <si>
    <t>потолок покраска тип 1: белый теплый</t>
  </si>
  <si>
    <t>Manders</t>
  </si>
  <si>
    <t>Только материал отделки</t>
  </si>
  <si>
    <t>ПТ-05-01</t>
  </si>
  <si>
    <t>ПТ-02-01</t>
  </si>
  <si>
    <t>потолок покраска тип 2: белый холодный</t>
  </si>
  <si>
    <t>ПТ-04-01</t>
  </si>
  <si>
    <t>ПТ-06-01</t>
  </si>
  <si>
    <t>ПТ-07-01</t>
  </si>
  <si>
    <t>ПТ-03-01</t>
  </si>
  <si>
    <t>потолок покраска тип 3: серый</t>
  </si>
  <si>
    <t>ОТД-03-01</t>
  </si>
  <si>
    <t>стены покраска тип 1: серый</t>
  </si>
  <si>
    <t>ОТД-03-02</t>
  </si>
  <si>
    <t>стены покраска тип 2: темно-серый</t>
  </si>
  <si>
    <t>стены покраска тип 3: светло-серый</t>
  </si>
  <si>
    <t>ОТД-06-01</t>
  </si>
  <si>
    <t>ОТД-07-01</t>
  </si>
  <si>
    <r>
      <rPr>
        <rFont val="Manrope"/>
        <sz val="12.0"/>
      </rPr>
      <t xml:space="preserve">ОТДЕЛОЧНЫЕ МАТЕРИАЛЫ 
</t>
    </r>
    <r>
      <rPr>
        <rFont val="Manrope"/>
        <sz val="10.0"/>
      </rPr>
      <t>плинтусы, карнизы, молдинг, обои</t>
    </r>
  </si>
  <si>
    <t>плинтус под покраску</t>
  </si>
  <si>
    <t>м.погон.</t>
  </si>
  <si>
    <t>ОТД-07-02</t>
  </si>
  <si>
    <t>стены обои звездочки</t>
  </si>
  <si>
    <t>odesign</t>
  </si>
  <si>
    <t>МЕБЕЛЬ</t>
  </si>
  <si>
    <t>М-01-01</t>
  </si>
  <si>
    <t>Пуф</t>
  </si>
  <si>
    <t>Fields</t>
  </si>
  <si>
    <t>М-03-01</t>
  </si>
  <si>
    <t>Кровать (без матраца) – покупка позже</t>
  </si>
  <si>
    <t>Sonberry</t>
  </si>
  <si>
    <t>Доп</t>
  </si>
  <si>
    <t>М-03-02</t>
  </si>
  <si>
    <t>Прикроватная тумбочка – покупка позже</t>
  </si>
  <si>
    <t>Cosmorelax</t>
  </si>
  <si>
    <t>М-03-03</t>
  </si>
  <si>
    <t>Кресло</t>
  </si>
  <si>
    <t>М-03-04</t>
  </si>
  <si>
    <t>Стол Журнальный</t>
  </si>
  <si>
    <t>М-03-05</t>
  </si>
  <si>
    <t xml:space="preserve">Кресло Danai </t>
  </si>
  <si>
    <t>М-05-01</t>
  </si>
  <si>
    <t>Обеденный стол</t>
  </si>
  <si>
    <t>Unika Moblar</t>
  </si>
  <si>
    <t>1</t>
  </si>
  <si>
    <t>М-05-02</t>
  </si>
  <si>
    <t>Обеденный стул</t>
  </si>
  <si>
    <t>Barcelona Design</t>
  </si>
  <si>
    <t>4</t>
  </si>
  <si>
    <t>М-06-01</t>
  </si>
  <si>
    <t>Стул</t>
  </si>
  <si>
    <t>М-07-01</t>
  </si>
  <si>
    <t>cosmorelax</t>
  </si>
  <si>
    <t>М-07-02</t>
  </si>
  <si>
    <t>Кресло подвесное</t>
  </si>
  <si>
    <t>Lifemebel</t>
  </si>
  <si>
    <r>
      <rPr>
        <rFont val="Manrope"/>
        <sz val="12.0"/>
      </rPr>
      <t xml:space="preserve">МЕБЕЛЬ НА ЗАКАЗ
</t>
    </r>
    <r>
      <rPr>
        <rFont val="Manrope"/>
        <sz val="10.0"/>
      </rPr>
      <t>индивидуальные изделия (ИИ)</t>
    </r>
  </si>
  <si>
    <t>ИИ-01-01</t>
  </si>
  <si>
    <t>Шкаф</t>
  </si>
  <si>
    <t>Производство М.Е.</t>
  </si>
  <si>
    <t>ИИ-01-02</t>
  </si>
  <si>
    <t>Полки справа от двери, антресольное хранение, панели на стены, оформление шкафа</t>
  </si>
  <si>
    <t>ИИ-01-03</t>
  </si>
  <si>
    <t>Зеркало настенное</t>
  </si>
  <si>
    <t>Артзеркал</t>
  </si>
  <si>
    <t>ИИ-02-02</t>
  </si>
  <si>
    <t>Зеркало</t>
  </si>
  <si>
    <t>ИИ-02-01</t>
  </si>
  <si>
    <t>Стеклянная перегородка душа</t>
  </si>
  <si>
    <t>ИИ-02-03</t>
  </si>
  <si>
    <t>Дверцы + внутреннее хранение</t>
  </si>
  <si>
    <t>ИИ-02-04</t>
  </si>
  <si>
    <t>Тумба под раковину</t>
  </si>
  <si>
    <t>ИИ-02-05</t>
  </si>
  <si>
    <t>Полки в душе</t>
  </si>
  <si>
    <t>Строительным методом (учитываются в строительной смете)</t>
  </si>
  <si>
    <r>
      <rPr>
        <rFont val="Manrope"/>
        <sz val="12.0"/>
      </rPr>
      <t>Строительным методом</t>
    </r>
    <r>
      <rPr>
        <rFont val="Manrope"/>
        <sz val="10.0"/>
      </rPr>
      <t xml:space="preserve"> (учитываются в строительной смете)</t>
    </r>
  </si>
  <si>
    <t>ИИ-03-01</t>
  </si>
  <si>
    <t>Шкаф с хранением</t>
  </si>
  <si>
    <t>ИИ-03-02</t>
  </si>
  <si>
    <t>Витрина</t>
  </si>
  <si>
    <t>Стол на стеклянном основании</t>
  </si>
  <si>
    <t>ИИ-03-03</t>
  </si>
  <si>
    <t>Шкаф (сбоку кровати)</t>
  </si>
  <si>
    <t>ИИ-03-04</t>
  </si>
  <si>
    <t>Накладная панель</t>
  </si>
  <si>
    <t>ИИ-03-05</t>
  </si>
  <si>
    <t>Экран радиатора</t>
  </si>
  <si>
    <t>ИИ-04-01</t>
  </si>
  <si>
    <t>Хозяйственный шкаф для стир. и суш. машин</t>
  </si>
  <si>
    <t>ИИ-04-02</t>
  </si>
  <si>
    <t>ИИ-04-03</t>
  </si>
  <si>
    <t>Шкаф над инсталляцией унитаза</t>
  </si>
  <si>
    <t>ИИ-04-04</t>
  </si>
  <si>
    <t>ИИ-04-05</t>
  </si>
  <si>
    <t>Стеклянная перегородка на ванну</t>
  </si>
  <si>
    <t>ИИ-05-01</t>
  </si>
  <si>
    <t>Полка в нише над ванной</t>
  </si>
  <si>
    <r>
      <rPr>
        <rFont val="Manrope"/>
        <sz val="12.0"/>
      </rPr>
      <t>Строительным методом</t>
    </r>
    <r>
      <rPr>
        <rFont val="Manrope"/>
        <sz val="10.0"/>
      </rPr>
      <t xml:space="preserve"> (учитываются в строительной смете)</t>
    </r>
  </si>
  <si>
    <t>ИИ-05-02</t>
  </si>
  <si>
    <t>ИИ-05-03</t>
  </si>
  <si>
    <t>Стеллаж передвижной для ТВ</t>
  </si>
  <si>
    <t>Маша Рылева</t>
  </si>
  <si>
    <t>ИИ-05-04</t>
  </si>
  <si>
    <t>Диван</t>
  </si>
  <si>
    <t>Выбрать в ТЦ Румер (в коллаже – Michelangelo модель Miami)</t>
  </si>
  <si>
    <t>ИИ-05-05</t>
  </si>
  <si>
    <t>Портал-обрамление окна</t>
  </si>
  <si>
    <t>ИИ-05-06</t>
  </si>
  <si>
    <t>ИИ-06-01</t>
  </si>
  <si>
    <t>Кровать (без матраца)</t>
  </si>
  <si>
    <t>ИИ-06-02</t>
  </si>
  <si>
    <t>ИИ-06-03</t>
  </si>
  <si>
    <t>Стол вдоль окна и хранение под столом</t>
  </si>
  <si>
    <t>Стеллаж и портал-обрамление окна</t>
  </si>
  <si>
    <t>ИИ-06-04</t>
  </si>
  <si>
    <t>2</t>
  </si>
  <si>
    <t>ИИ-07-01</t>
  </si>
  <si>
    <t>ИИ-07-02</t>
  </si>
  <si>
    <t>ИИ-07-03</t>
  </si>
  <si>
    <t>Сидение вдоль окна и стол с тумбой</t>
  </si>
  <si>
    <t>ИИ-07-04</t>
  </si>
  <si>
    <t>Стеллаж</t>
  </si>
  <si>
    <t>ИИ-07-05</t>
  </si>
  <si>
    <t>Мягкие панели</t>
  </si>
  <si>
    <t>ССЫЛКА</t>
  </si>
  <si>
    <t>ИИ-07-06</t>
  </si>
  <si>
    <t>Мягкие подушки на сидения</t>
  </si>
  <si>
    <t>СВЕТ</t>
  </si>
  <si>
    <t>О-01-01</t>
  </si>
  <si>
    <t>HIDDEN M Black светодиодный светильник</t>
  </si>
  <si>
    <t>стильный свет</t>
  </si>
  <si>
    <t>О-02-01</t>
  </si>
  <si>
    <t>черный</t>
  </si>
  <si>
    <t>LED подсветка, встроена в зеркало</t>
  </si>
  <si>
    <t>Учитываются в смете изготовителей мебели</t>
  </si>
  <si>
    <t>О-03-01</t>
  </si>
  <si>
    <t>Настольная лампа Nowodvorski Nuage 7023</t>
  </si>
  <si>
    <t>thefields</t>
  </si>
  <si>
    <t>О-03-02</t>
  </si>
  <si>
    <t>Настенный светильник Bronx с регулировкой по высоте</t>
  </si>
  <si>
    <t>О-03-03</t>
  </si>
  <si>
    <t>8</t>
  </si>
  <si>
    <t>О-03-06</t>
  </si>
  <si>
    <t>MARSHAL FW встраиваемый светодиодный светильник под шпаклевку (8W , Cree1507, CRI90, цвет корпуса
белый)</t>
  </si>
  <si>
    <t>О-03-04</t>
  </si>
  <si>
    <t>LED подсветка стеллажа</t>
  </si>
  <si>
    <t>О-03-05</t>
  </si>
  <si>
    <t>О-04-01</t>
  </si>
  <si>
    <t>белый</t>
  </si>
  <si>
    <t>6</t>
  </si>
  <si>
    <t>О-04-02</t>
  </si>
  <si>
    <t>LED подсветка зеркала</t>
  </si>
  <si>
    <t>О-04-03</t>
  </si>
  <si>
    <t>LED подсветка тумбы</t>
  </si>
  <si>
    <t>1,2</t>
  </si>
  <si>
    <t>О-05-01</t>
  </si>
  <si>
    <t>бра ORIENTAL STICK 900 Black (220V, 15W, 1050 lm, 3000K, CRI 90, цвет черный)</t>
  </si>
  <si>
    <t>О-05-02</t>
  </si>
  <si>
    <t xml:space="preserve">Люстра   </t>
  </si>
  <si>
    <t>О-05-03</t>
  </si>
  <si>
    <t>Подсветка кухни</t>
  </si>
  <si>
    <t>9,45</t>
  </si>
  <si>
    <t>О-05-04</t>
  </si>
  <si>
    <t>5</t>
  </si>
  <si>
    <t>О-05-04.2</t>
  </si>
  <si>
    <t>HIDDEN White встраиваемый светодиодный светильник ( Bridgelux LED,15W, DIM, 1553Lm, CRI:90, 3000K,
50°, цв. белый)</t>
  </si>
  <si>
    <t>CASAMBI CBU-TED контроллер TRIAC 220V (управление по Bluetooth)</t>
  </si>
  <si>
    <t>О-06-01</t>
  </si>
  <si>
    <t>О-06-02</t>
  </si>
  <si>
    <t>Aromas A1247 BRONCE бра</t>
  </si>
  <si>
    <t>frezia-light</t>
  </si>
  <si>
    <t>О-06-03</t>
  </si>
  <si>
    <t>Бра регулируемое Torch черное</t>
  </si>
  <si>
    <t>barcelonadesign</t>
  </si>
  <si>
    <t>О-06-05</t>
  </si>
  <si>
    <t>7</t>
  </si>
  <si>
    <t>О-06-05.2</t>
  </si>
  <si>
    <t>О-07-01</t>
  </si>
  <si>
    <t>Подвесной светильник</t>
  </si>
  <si>
    <t>lampatron</t>
  </si>
  <si>
    <t>О-07-02</t>
  </si>
  <si>
    <t>бра ORIENTAL BRA 600 Gold (220V, 10W, 700 lm, 3000K, CRI 90, цвет золото)</t>
  </si>
  <si>
    <t>О-07-03</t>
  </si>
  <si>
    <t>AXXO White прикроватная БРА (220V, 3Вт, 3000K, CRI 90, угол 30, IP 40)</t>
  </si>
  <si>
    <t>О-07-04</t>
  </si>
  <si>
    <t>настенный светильник над рабочим столом</t>
  </si>
  <si>
    <t>barcelonadesigh</t>
  </si>
  <si>
    <t>О-07-05</t>
  </si>
  <si>
    <t>О-07-05.2</t>
  </si>
  <si>
    <t>ДВЕРИ</t>
  </si>
  <si>
    <t>ДВ-01-01</t>
  </si>
  <si>
    <t>Дверь входная под покраску</t>
  </si>
  <si>
    <t>Union</t>
  </si>
  <si>
    <t>Д-02-01</t>
  </si>
  <si>
    <t>Дверь INVISIBLE LUX Alu 700*2400
- полотно толщина 60 мм, грунт под окраску, алюминиевая кромка, цвет:
Chrome Matt
- короб "скрытый", цвет Chrome Matt
- ручки ROBOQUATTRO S черный матовый
- петли OTLAV (3 шт.), made in Italy, цвет хром мат.
- замок AGB, made in Italy, цвет хром мат.</t>
  </si>
  <si>
    <t>Д-03-01</t>
  </si>
  <si>
    <t>Дверь INVISIBLE LUX Alu 800*2400
- полотно толщина 60 мм, грунт под окраску, алюминиевая кромка, цвет:
Chrome Matt
- короб "скрытый", цвет Chrome Matt
- ручки ROBOQUATTRO S черный матовый
- петли OTLAV (3 шт.), made in Italy, цвет хром мат.
- замок AGB, made in Italy, с защелкой, цвет хром мат.</t>
  </si>
  <si>
    <t>Д-06-01</t>
  </si>
  <si>
    <t>Д-04-01</t>
  </si>
  <si>
    <t>Дверь обратного открывания, под покраску с двух сторон, скрытый монтаж, с алюминиевой кромкой по торцу</t>
  </si>
  <si>
    <t>Дверь INVISIBLE LUX Alu INVERSO 700*2100
- полотно толщина 60 мм, грунт под окраску, алюминиевая кромка, цвет:
Chrome Matt
- короб "скрытый", цвет Chrome Matt
- ручки ROBOQUATTRO S черный матовый
- петли OTLAV (2 шт.), made in Italy, цвет хром мат.
- замок AGB, made in Italy, с защелкой, цвет хром мат.</t>
  </si>
  <si>
    <t>Д-07-01</t>
  </si>
  <si>
    <t>САНТЕХНИКА</t>
  </si>
  <si>
    <t>С-02-01.1</t>
  </si>
  <si>
    <t>Унитаз подвесной OWL Vind Cirkel-H, OWLT190302 и сидение с крышкой</t>
  </si>
  <si>
    <t>BascicDecor</t>
  </si>
  <si>
    <t>С-02-01.2
С-02-01.3</t>
  </si>
  <si>
    <t>С-02-01.2
 С-02-01.3</t>
  </si>
  <si>
    <t xml:space="preserve">Инсталляция механическая для унитаза Tece 9300000
</t>
  </si>
  <si>
    <t>BasicDecor</t>
  </si>
  <si>
    <t xml:space="preserve">Шумоизоляционная панель для инсталляции TECE TECEprofil 9 200 010 </t>
  </si>
  <si>
    <t>С-02-02.1</t>
  </si>
  <si>
    <t>раковина CATALANO VERSO 15025VE00</t>
  </si>
  <si>
    <t>С-02-02.2</t>
  </si>
  <si>
    <t>Смеситель для раковины Paffoni Light LIG081NO</t>
  </si>
  <si>
    <t>С-02-03</t>
  </si>
  <si>
    <t>Система для душа OMNIRES Y SYSY18BL</t>
  </si>
  <si>
    <t>С-02-04</t>
  </si>
  <si>
    <t>Смеситель с гигиеническим душем Paffoni Tweet
Round ZDUP110NO (с внутренней частью)</t>
  </si>
  <si>
    <t>С-02-05</t>
  </si>
  <si>
    <t>узкий полотенцесушитель</t>
  </si>
  <si>
    <t>Dom termo</t>
  </si>
  <si>
    <t>МАСКИРОВОЧНЫЙ ЭЛЕМЕНТ ХРОМ​ ДЛЯ ТЭНОВ СЕРИИ MEG И MOA</t>
  </si>
  <si>
    <t>ЭЛЕКТРО ТЭН TERMA MOA 200-1000 ВТ ХРОМ</t>
  </si>
  <si>
    <t>С-02-06</t>
  </si>
  <si>
    <t>Желоб водосток Berges SUPER Slim 090152</t>
  </si>
  <si>
    <t>Система защиты от протечек воды Gidrolock Квартира - 2 PROFESSIONAL - "ENOLGAS"</t>
  </si>
  <si>
    <t>28 100,00</t>
  </si>
  <si>
    <t>C-04-01.1</t>
  </si>
  <si>
    <t>Сиденье для унитаза CIELO ENJOY CPVEJNEWF bia</t>
  </si>
  <si>
    <t>C-04-01.2</t>
  </si>
  <si>
    <t>C-04-01.3</t>
  </si>
  <si>
    <t>TECEloop 2.0 панель смыва с двумя клавишами пластиковая белая метовая, 9240926 (9 240 926)</t>
  </si>
  <si>
    <t>C-04-02.1</t>
  </si>
  <si>
    <t>Раковина CeramaLux N 2242</t>
  </si>
  <si>
    <t>C-04-02.2</t>
  </si>
  <si>
    <t>Смеситель для раковины Paffoni Light LIG081BO белый</t>
  </si>
  <si>
    <t>C-04-03
С-04-04</t>
  </si>
  <si>
    <t>C-04-03
 С-04-04</t>
  </si>
  <si>
    <t xml:space="preserve">Душевая система:
1. Подключение шланга A147
2. Стойка для душа A154
3. Лейка 3-функциональная А155
4. Смеситель Wasserkraft Mindel 8551 С ВНУТРЕННЕЙ ЧАСТЬЮ, для душа 
8551
5. Relexaflex Шланг 1,5 м белый 28151L01 </t>
  </si>
  <si>
    <t>C-04-05</t>
  </si>
  <si>
    <t xml:space="preserve">Смеситель Cezares Laconico C BVDM BLC на борт ванны, белый
</t>
  </si>
  <si>
    <t>C-04-06</t>
  </si>
  <si>
    <t>Ванна из литьевого мрамора Астра-Форм Нейт 170x70, 010119
+ слив перелив
+ экран</t>
  </si>
  <si>
    <t>установочные ножки для ванны, 4 шт в комплекте</t>
  </si>
  <si>
    <t>крючок настеный «Bemeta» White 104106034 на стену белый</t>
  </si>
  <si>
    <t>C-04-07</t>
  </si>
  <si>
    <t>Полотенцесушитель Ника ARC ЛД 80/40 RAL9016 белый матовый</t>
  </si>
  <si>
    <t>Электрический ТЭН Мег 1.0 300W RAL9016 белый, маскирующий элемент,</t>
  </si>
  <si>
    <t>C-04-08</t>
  </si>
  <si>
    <t>Гигиенический душ Paffoni Tweet Round ZDUP110BO с внутренней частью1</t>
  </si>
  <si>
    <r>
      <rPr>
        <rFont val="Manrope"/>
        <sz val="12.0"/>
      </rPr>
      <t xml:space="preserve">КУХНЯ
</t>
    </r>
    <r>
      <rPr>
        <rFont val="Manrope"/>
        <sz val="10.0"/>
      </rPr>
      <t>мебель, сантехн., техника</t>
    </r>
  </si>
  <si>
    <t xml:space="preserve"> </t>
  </si>
  <si>
    <t>ИИ-05-01.2</t>
  </si>
  <si>
    <t>Столешница</t>
  </si>
  <si>
    <t>Изделие + доставка + монтаж</t>
  </si>
  <si>
    <t>С-05-02.1</t>
  </si>
  <si>
    <t>Мойка</t>
  </si>
  <si>
    <t>Omoikiri</t>
  </si>
  <si>
    <t>С-05-02.2</t>
  </si>
  <si>
    <t>Смеситель с двойным изливом (кран для фильтра)</t>
  </si>
  <si>
    <t>С-01-02.2</t>
  </si>
  <si>
    <t>Дозатор для мыла (диспенсер)</t>
  </si>
  <si>
    <t>Т-05-06</t>
  </si>
  <si>
    <t>Измельчитель</t>
  </si>
  <si>
    <t>bonecrusher</t>
  </si>
  <si>
    <t>Фильтр водоочиститель</t>
  </si>
  <si>
    <t>аквафор</t>
  </si>
  <si>
    <t>ИИ-05-01.1</t>
  </si>
  <si>
    <t>Кухня мебель (вариант дополнит.)</t>
  </si>
  <si>
    <t>Leicht</t>
  </si>
  <si>
    <t>Кухня мебель  (вариант основной)</t>
  </si>
  <si>
    <t>Стильные кухни</t>
  </si>
  <si>
    <t xml:space="preserve">
</t>
  </si>
  <si>
    <t>Т-05-03
Т-05-01</t>
  </si>
  <si>
    <t>Кухня холодильник</t>
  </si>
  <si>
    <t>Технопарк</t>
  </si>
  <si>
    <t>Т-05-02</t>
  </si>
  <si>
    <t>Кухня духовой шкаф (с СВЧ)</t>
  </si>
  <si>
    <t>Т-05-04</t>
  </si>
  <si>
    <t>Кухня варочная поверхность</t>
  </si>
  <si>
    <t>Т-01-07</t>
  </si>
  <si>
    <t>Встраиваемая посудомоечная машина</t>
  </si>
  <si>
    <t>Т-01-04</t>
  </si>
  <si>
    <t>Вытяжка</t>
  </si>
  <si>
    <r>
      <rPr>
        <rFont val="Manrope"/>
        <sz val="12.0"/>
      </rPr>
      <t xml:space="preserve">ИНЖЕНЕРИЯ
</t>
    </r>
    <r>
      <rPr>
        <rFont val="Manrope"/>
        <sz val="10.0"/>
      </rPr>
      <t>отопление, вент., кондиционирование</t>
    </r>
  </si>
  <si>
    <t xml:space="preserve">1 настенный блок + комплектующие </t>
  </si>
  <si>
    <t>Михаил Машков +79263455064</t>
  </si>
  <si>
    <t>система приточной вентиляции во всей квартире</t>
  </si>
  <si>
    <t>радиатор настенный</t>
  </si>
  <si>
    <t>https://www.kzto.ru/paralleli-v-1-300-46-shag-25</t>
  </si>
  <si>
    <t>https://www.kzto.ru/paralleli-v-1-300-47-shag-25</t>
  </si>
  <si>
    <t>https://www.kzto.ru/paralleli-v-1-300-90-shag-25</t>
  </si>
  <si>
    <t>https://www.kzto.ru/paralleli-v-1-300-52-shag-25</t>
  </si>
  <si>
    <t>РОЗЕТКИ, ВЫКЛЮЧАТЕЛИ</t>
  </si>
  <si>
    <t>Jung, LS 990 (металл, антрацит)</t>
  </si>
  <si>
    <t>jung</t>
  </si>
  <si>
    <t>антрацит</t>
  </si>
  <si>
    <t>ШТОРЫ, ТЕКСТИЛЬ</t>
  </si>
  <si>
    <t>Шторы: плотные black out + тюль</t>
  </si>
  <si>
    <t>divotex</t>
  </si>
  <si>
    <t>Карнизы электрика (управление с пульта)</t>
  </si>
  <si>
    <t>Карнизы обычные (ручное управление)</t>
  </si>
  <si>
    <t>Римская штора</t>
  </si>
  <si>
    <t>Римская штора на подкладке (black out)</t>
  </si>
  <si>
    <t>ДЕКОР</t>
  </si>
  <si>
    <t>ПРОЧЕЕ</t>
  </si>
  <si>
    <t>ИТОГО ОБЩАЯ СУММА ПО СМЕТЕ:</t>
  </si>
  <si>
    <t>ИТОГО ОБЩАЯ СУММА С УЧЕТОМ НЕПРЕДВИДЕННЫХ РАСХОДОВ (10%):</t>
  </si>
  <si>
    <t>ЭКОНОМИЯ ПРИ ЗАКУПКЕ ЧЕРЕЗ СТУДИЮ:</t>
  </si>
  <si>
    <t>ОПЛАТА ПО ДОГОВОРУ КОМПЛЕКТАЦИИ:</t>
  </si>
  <si>
    <t>СУММА С ОПЛАТОЙ ПО КОМПЛЕКТАЦИИ:</t>
  </si>
  <si>
    <t xml:space="preserve">ЗА ОРИЕНТИР ВЕЗДЕ ВЗЯТ КУРС 1 ЕВРО= </t>
  </si>
  <si>
    <t xml:space="preserve">ЗА ОРИЕНТИР ВЕЗДЕ ВЗЯТ КУРС 1 ДОЛЛАР США= </t>
  </si>
  <si>
    <t xml:space="preserve">ЗА ОРИЕНТИР ВЕЗДЕ ВЗЯТ КУРС 1 ФУНТ = </t>
  </si>
  <si>
    <t>ПРИМЕЧАНИЯ:</t>
  </si>
  <si>
    <t>1) стоимость не является фиксированной. Перед размещением заказа будет предоставлено итоговое КП (счет);</t>
  </si>
  <si>
    <t>2) итоговая стоимость может быть скорректирована вследствие изменения курсов валют, таможенных и иных государственных правил; формы оплаты, торговых условий поставщика;</t>
  </si>
  <si>
    <t>3) указанные скидки возможны к получению у конкретных поставщиков при оформлении заказа через студию. Студия не гарантирует сохранение текущей скидки при самостоятельном приобретении заказчиком;</t>
  </si>
  <si>
    <t>4) финальная скидка может быть изменена в зависимости от объема заказа;</t>
  </si>
  <si>
    <t>5) студия приоритетно предлагает поставщиков и подрядчиков, с которыми имеет положительный опыт сотрудничества;</t>
  </si>
  <si>
    <t>6) студия не гарантирует предоставление поставщиками и подрядчиками самой низкой цены на рынке;</t>
  </si>
  <si>
    <t>7) переподбор альтернативных вариантов для формирования бюджета проекта производится единоразово.</t>
  </si>
  <si>
    <t>8)подсчет краски произведен ориентировочно (т.к. итоговая сумма затраты на краски зависит от типажа краски, у каждой краски свой расход); точно просчитать краску можно только после согласоваия выкрасов на объекте; требуется просчет от поставщика.</t>
  </si>
  <si>
    <t xml:space="preserve">В стоимость позиций по отделочным материалам и мебели НЕ включены затирка плитки, клеи (считают строители) для плинтусов, карнизов, молдигов, доставка, укладка, сборка (2–6 %), если не указано иное.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</si>
</sst>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грн.]#,##0.00"/>
    <numFmt numFmtId="165" formatCode="#,##0.00\ &quot;руб.&quot;;[Red]#,##0.00\ &quot;руб.&quot;"/>
    <numFmt numFmtId="166" formatCode="#,##0_);[red]-#,##0;-;@"/>
    <numFmt numFmtId="167" formatCode="#,##0\ &quot;руб.&quot;;[Red]#,##0\ &quot;руб.&quot;"/>
    <numFmt numFmtId="168" formatCode="#,##0.00[$ ₽]"/>
    <numFmt numFmtId="169" formatCode="#,##0[$ ₽]"/>
  </numFmts>
  <fonts count="72">
    <font>
      <sz val="12.0"/>
      <color rgb="FF000000"/>
      <name val="Calibri"/>
    </font>
    <font>
      <sz val="12.0"/>
      <name val="Manrope"/>
    </font>
    <font>
      <b/>
      <sz val="12.0"/>
      <name val="Manrope"/>
    </font>
    <font>
      <sz val="10.0"/>
      <name val="Manrope"/>
    </font>
    <font>
      <b/>
      <sz val="12.0"/>
      <color rgb="FF7F7F7F"/>
      <name val="Manrope"/>
    </font>
    <font>
      <sz val="12.0"/>
      <color rgb="FF000000"/>
      <name val="Manrope"/>
    </font>
    <font>
      <b/>
      <sz val="12.0"/>
      <color rgb="FFC0504D"/>
      <name val="Manrope"/>
    </font>
    <font>
      <sz val="12.0"/>
      <color rgb="FFC0504D"/>
      <name val="Manrope"/>
    </font>
    <font>
      <sz val="12.0"/>
      <color rgb="FF7F7F7F"/>
      <name val="Manrope"/>
    </font>
    <font/>
    <font>
      <name val="Manrope"/>
    </font>
    <font>
      <i/>
      <sz val="12.0"/>
      <name val="Manrope"/>
    </font>
    <font>
      <u/>
      <sz val="12.0"/>
      <color rgb="FF1155CC"/>
      <name val="Manrope"/>
    </font>
    <font>
      <b/>
      <u/>
      <sz val="12.0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0.0"/>
      <color rgb="FF1155CC"/>
      <name val="Manrope"/>
    </font>
    <font>
      <sz val="10.0"/>
      <color rgb="FF000000"/>
      <name val="Manrope"/>
    </font>
    <font>
      <u/>
      <sz val="12.0"/>
      <color rgb="FF1155CC"/>
      <name val="Manrope"/>
    </font>
    <font>
      <u/>
      <sz val="10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5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4.0"/>
      <color rgb="FF1155CC"/>
      <name val="Manrope"/>
    </font>
    <font>
      <u/>
      <sz val="12.0"/>
      <color rgb="FF1155CC"/>
      <name val="Manrope"/>
    </font>
    <font>
      <u/>
      <sz val="12.0"/>
      <color rgb="FF1155CC"/>
      <name val="Manrope"/>
    </font>
    <font>
      <u/>
      <sz val="14.0"/>
      <color rgb="FF1155CC"/>
      <name val="Manrope"/>
    </font>
    <font>
      <u/>
      <sz val="14.0"/>
      <color rgb="FF1155CC"/>
      <name val="Manrope"/>
    </font>
    <font>
      <u/>
      <sz val="14.0"/>
      <color rgb="FF1155CC"/>
      <name val="Manrope"/>
    </font>
    <font>
      <u/>
      <sz val="12.0"/>
      <color rgb="FF1155CC"/>
      <name val="Manrope"/>
    </font>
    <font>
      <u/>
      <sz val="12.0"/>
      <color rgb="FF0000FF"/>
      <name val="Manrope"/>
    </font>
    <font>
      <b/>
      <sz val="12.0"/>
      <color rgb="FF1F497D"/>
      <name val="Manrope"/>
    </font>
    <font>
      <sz val="12.0"/>
      <color rgb="FF1F497D"/>
      <name val="Manrope"/>
    </font>
    <font>
      <b/>
      <i/>
      <sz val="12.0"/>
      <color rgb="FF7F7F7F"/>
      <name val="Manrope"/>
    </font>
    <font>
      <u/>
      <sz val="12.0"/>
      <name val="Manrope"/>
    </font>
    <font>
      <u/>
      <sz val="12.0"/>
      <name val="Manrope"/>
    </font>
    <font>
      <b/>
      <u/>
      <sz val="12.0"/>
      <name val="Manrope"/>
    </font>
    <font>
      <b/>
      <i/>
      <sz val="12.0"/>
      <color rgb="FF1F497D"/>
      <name val="Manrope"/>
    </font>
    <font>
      <u/>
      <sz val="12.0"/>
      <name val="Manrope"/>
    </font>
    <font>
      <sz val="12.0"/>
      <color rgb="FF3F3F3F"/>
      <name val="Manrope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3F3F3"/>
        <bgColor rgb="FFF3F3F3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</fills>
  <borders count="9">
    <border/>
    <border>
      <left style="thin">
        <color rgb="FF000000"/>
      </left>
    </border>
    <border>
      <right style="thin">
        <color rgb="FF000000"/>
      </right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09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shrinkToFit="0" vertical="center" wrapText="0"/>
    </xf>
    <xf borderId="0" fillId="0" fontId="1" numFmtId="165" xfId="0" applyAlignment="1" applyFont="1" applyNumberFormat="1">
      <alignment horizontal="left" readingOrder="0" shrinkToFit="0" vertical="center" wrapText="1"/>
    </xf>
    <xf borderId="0" fillId="0" fontId="2" numFmtId="165" xfId="0" applyAlignment="1" applyFont="1" applyNumberFormat="1">
      <alignment horizontal="left" readingOrder="0" shrinkToFit="0" vertical="center" wrapText="1"/>
    </xf>
    <xf borderId="0" fillId="2" fontId="3" numFmtId="3" xfId="0" applyAlignment="1" applyFill="1" applyFont="1" applyNumberFormat="1">
      <alignment horizontal="center" readingOrder="0" shrinkToFit="0" vertical="top" wrapText="1"/>
    </xf>
    <xf borderId="0" fillId="0" fontId="2" numFmtId="165" xfId="0" applyAlignment="1" applyFont="1" applyNumberFormat="1">
      <alignment horizontal="left" shrinkToFit="0" vertical="center" wrapText="1"/>
    </xf>
    <xf borderId="0" fillId="0" fontId="2" numFmtId="166" xfId="0" applyAlignment="1" applyFont="1" applyNumberFormat="1">
      <alignment horizontal="center" shrinkToFit="0" vertical="center" wrapText="1"/>
    </xf>
    <xf borderId="0" fillId="0" fontId="2" numFmtId="165" xfId="0" applyAlignment="1" applyFont="1" applyNumberFormat="1">
      <alignment horizontal="center" shrinkToFit="0" vertical="center" wrapText="1"/>
    </xf>
    <xf borderId="0" fillId="0" fontId="1" numFmtId="10" xfId="0" applyAlignment="1" applyFont="1" applyNumberFormat="1">
      <alignment horizontal="center" shrinkToFit="0" vertical="center" wrapText="1"/>
    </xf>
    <xf borderId="0" fillId="0" fontId="4" numFmtId="10" xfId="0" applyAlignment="1" applyFont="1" applyNumberFormat="1">
      <alignment horizontal="center" shrinkToFit="0" vertical="center" wrapText="1"/>
    </xf>
    <xf borderId="0" fillId="0" fontId="1" numFmtId="4" xfId="0" applyAlignment="1" applyFont="1" applyNumberFormat="1">
      <alignment horizontal="center" shrinkToFit="0" vertical="center" wrapText="1"/>
    </xf>
    <xf borderId="0" fillId="0" fontId="2" numFmtId="4" xfId="0" applyAlignment="1" applyFont="1" applyNumberFormat="1">
      <alignment horizontal="center" shrinkToFit="0" vertical="center" wrapText="1"/>
    </xf>
    <xf borderId="0" fillId="0" fontId="1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0"/>
    </xf>
    <xf borderId="0" fillId="0" fontId="5" numFmtId="165" xfId="0" applyAlignment="1" applyFont="1" applyNumberFormat="1">
      <alignment horizontal="left" readingOrder="0" shrinkToFit="0" vertical="center" wrapText="1"/>
    </xf>
    <xf borderId="0" fillId="0" fontId="6" numFmtId="165" xfId="0" applyAlignment="1" applyFont="1" applyNumberFormat="1">
      <alignment horizontal="left" readingOrder="0" shrinkToFit="0" vertical="center" wrapText="1"/>
    </xf>
    <xf borderId="0" fillId="0" fontId="6" numFmtId="3" xfId="0" applyAlignment="1" applyFont="1" applyNumberFormat="1">
      <alignment horizontal="left" readingOrder="0" shrinkToFit="0" vertical="center" wrapText="1"/>
    </xf>
    <xf borderId="0" fillId="0" fontId="6" numFmtId="165" xfId="0" applyAlignment="1" applyFont="1" applyNumberFormat="1">
      <alignment horizontal="left" shrinkToFit="0" vertical="center" wrapText="1"/>
    </xf>
    <xf borderId="0" fillId="0" fontId="6" numFmtId="166" xfId="0" applyAlignment="1" applyFont="1" applyNumberFormat="1">
      <alignment horizontal="center" shrinkToFit="0" vertical="center" wrapText="1"/>
    </xf>
    <xf borderId="0" fillId="0" fontId="6" numFmtId="165" xfId="0" applyAlignment="1" applyFont="1" applyNumberFormat="1">
      <alignment horizontal="center" shrinkToFit="0" vertical="center" wrapText="1"/>
    </xf>
    <xf borderId="0" fillId="0" fontId="7" numFmtId="4" xfId="0" applyAlignment="1" applyFont="1" applyNumberFormat="1">
      <alignment horizontal="center" shrinkToFit="0" vertical="center" wrapText="1"/>
    </xf>
    <xf borderId="0" fillId="0" fontId="6" numFmtId="4" xfId="0" applyAlignment="1" applyFont="1" applyNumberFormat="1">
      <alignment horizontal="center" shrinkToFit="0" vertical="center" wrapText="1"/>
    </xf>
    <xf borderId="0" fillId="0" fontId="2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1"/>
    </xf>
    <xf borderId="0" fillId="0" fontId="1" numFmtId="165" xfId="0" applyAlignment="1" applyFont="1" applyNumberFormat="1">
      <alignment horizontal="center" readingOrder="0" shrinkToFit="0" vertical="center" wrapText="1"/>
    </xf>
    <xf borderId="0" fillId="0" fontId="1" numFmtId="165" xfId="0" applyAlignment="1" applyFont="1" applyNumberFormat="1">
      <alignment horizontal="center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0" fillId="0" fontId="1" numFmtId="3" xfId="0" applyAlignment="1" applyFont="1" applyNumberFormat="1">
      <alignment horizontal="center" shrinkToFit="0" vertical="center" wrapText="1"/>
    </xf>
    <xf borderId="0" fillId="0" fontId="1" numFmtId="167" xfId="0" applyAlignment="1" applyFont="1" applyNumberFormat="1">
      <alignment horizontal="left" readingOrder="0" shrinkToFit="0" vertical="center" wrapText="1"/>
    </xf>
    <xf borderId="0" fillId="0" fontId="1" numFmtId="166" xfId="0" applyAlignment="1" applyFont="1" applyNumberFormat="1">
      <alignment horizontal="center" readingOrder="0" shrinkToFit="0" vertical="center" wrapText="1"/>
    </xf>
    <xf borderId="0" fillId="0" fontId="1" numFmtId="167" xfId="0" applyAlignment="1" applyFont="1" applyNumberFormat="1">
      <alignment horizontal="center" readingOrder="0" shrinkToFit="0" vertical="center" wrapText="1"/>
    </xf>
    <xf borderId="0" fillId="0" fontId="8" numFmtId="10" xfId="0" applyAlignment="1" applyFont="1" applyNumberFormat="1">
      <alignment horizontal="center" shrinkToFit="0" vertical="center" wrapText="1"/>
    </xf>
    <xf borderId="0" fillId="0" fontId="1" numFmtId="4" xfId="0" applyAlignment="1" applyFont="1" applyNumberFormat="1">
      <alignment horizontal="center" readingOrder="0" shrinkToFit="0" vertical="center" wrapText="1"/>
    </xf>
    <xf borderId="0" fillId="3" fontId="1" numFmtId="0" xfId="0" applyAlignment="1" applyFill="1" applyFont="1">
      <alignment horizontal="center" shrinkToFit="0" vertical="top" wrapText="0"/>
    </xf>
    <xf borderId="0" fillId="3" fontId="1" numFmtId="0" xfId="0" applyAlignment="1" applyFont="1">
      <alignment horizontal="center" readingOrder="0" shrinkToFit="0" vertical="top" wrapText="1"/>
    </xf>
    <xf borderId="0" fillId="3" fontId="1" numFmtId="165" xfId="0" applyAlignment="1" applyFont="1" applyNumberFormat="1">
      <alignment horizontal="center" readingOrder="0" shrinkToFit="0" vertical="top" wrapText="1"/>
    </xf>
    <xf borderId="0" fillId="3" fontId="1" numFmtId="4" xfId="0" applyAlignment="1" applyFont="1" applyNumberFormat="1">
      <alignment horizontal="center" readingOrder="0" shrinkToFit="0" vertical="top" wrapText="1"/>
    </xf>
    <xf borderId="1" fillId="3" fontId="1" numFmtId="4" xfId="0" applyAlignment="1" applyBorder="1" applyFont="1" applyNumberFormat="1">
      <alignment horizontal="center" readingOrder="0" shrinkToFit="0" vertical="top" wrapText="1"/>
    </xf>
    <xf borderId="2" fillId="0" fontId="9" numFmtId="0" xfId="0" applyBorder="1" applyFont="1"/>
    <xf borderId="0" fillId="3" fontId="1" numFmtId="167" xfId="0" applyAlignment="1" applyFont="1" applyNumberFormat="1">
      <alignment horizontal="center" readingOrder="0" shrinkToFit="0" vertical="top" wrapText="1"/>
    </xf>
    <xf borderId="0" fillId="3" fontId="1" numFmtId="166" xfId="0" applyAlignment="1" applyFont="1" applyNumberFormat="1">
      <alignment horizontal="center" readingOrder="0" vertical="top"/>
    </xf>
    <xf borderId="0" fillId="3" fontId="1" numFmtId="166" xfId="0" applyAlignment="1" applyFont="1" applyNumberFormat="1">
      <alignment horizontal="center" readingOrder="0" shrinkToFit="0" vertical="top" wrapText="1"/>
    </xf>
    <xf borderId="0" fillId="3" fontId="1" numFmtId="4" xfId="0" applyAlignment="1" applyFont="1" applyNumberFormat="1">
      <alignment horizontal="center" shrinkToFit="0" vertical="top" wrapText="1"/>
    </xf>
    <xf borderId="0" fillId="3" fontId="3" numFmtId="0" xfId="0" applyAlignment="1" applyFont="1">
      <alignment horizontal="center" readingOrder="0" shrinkToFit="0" vertical="top" wrapText="1"/>
    </xf>
    <xf borderId="0" fillId="3" fontId="3" numFmtId="165" xfId="0" applyAlignment="1" applyFont="1" applyNumberFormat="1">
      <alignment horizontal="center" readingOrder="0" shrinkToFit="0" vertical="top" wrapText="1"/>
    </xf>
    <xf borderId="0" fillId="3" fontId="1" numFmtId="165" xfId="0" applyAlignment="1" applyFont="1" applyNumberFormat="1">
      <alignment horizontal="center" shrinkToFit="0" vertical="top" wrapText="1"/>
    </xf>
    <xf borderId="0" fillId="3" fontId="1" numFmtId="0" xfId="0" applyAlignment="1" applyFont="1">
      <alignment horizontal="center" shrinkToFit="0" vertical="top" wrapText="1"/>
    </xf>
    <xf borderId="0" fillId="3" fontId="3" numFmtId="4" xfId="0" applyAlignment="1" applyFont="1" applyNumberFormat="1">
      <alignment horizontal="center" readingOrder="0" shrinkToFit="0" vertical="top" wrapText="1"/>
    </xf>
    <xf borderId="1" fillId="3" fontId="3" numFmtId="4" xfId="0" applyAlignment="1" applyBorder="1" applyFont="1" applyNumberFormat="1">
      <alignment horizontal="center" readingOrder="0" shrinkToFit="0" vertical="top" wrapText="1"/>
    </xf>
    <xf borderId="2" fillId="3" fontId="3" numFmtId="4" xfId="0" applyAlignment="1" applyBorder="1" applyFont="1" applyNumberFormat="1">
      <alignment horizontal="center" readingOrder="0" shrinkToFit="0" vertical="top" wrapText="1"/>
    </xf>
    <xf borderId="2" fillId="3" fontId="3" numFmtId="3" xfId="0" applyAlignment="1" applyBorder="1" applyFont="1" applyNumberFormat="1">
      <alignment horizontal="center" readingOrder="0" shrinkToFit="0" vertical="top" wrapText="1"/>
    </xf>
    <xf borderId="0" fillId="3" fontId="3" numFmtId="167" xfId="0" applyAlignment="1" applyFont="1" applyNumberFormat="1">
      <alignment horizontal="center" readingOrder="0" shrinkToFit="0" vertical="top" wrapText="1"/>
    </xf>
    <xf borderId="0" fillId="3" fontId="1" numFmtId="166" xfId="0" applyAlignment="1" applyFont="1" applyNumberFormat="1">
      <alignment horizontal="center" vertical="top"/>
    </xf>
    <xf borderId="0" fillId="3" fontId="10" numFmtId="166" xfId="0" applyAlignment="1" applyFont="1" applyNumberFormat="1">
      <alignment horizontal="center" readingOrder="0" vertical="top"/>
    </xf>
    <xf borderId="0" fillId="3" fontId="3" numFmtId="9" xfId="0" applyAlignment="1" applyFont="1" applyNumberFormat="1">
      <alignment horizontal="center" readingOrder="0" shrinkToFit="0" vertical="top" wrapText="1"/>
    </xf>
    <xf borderId="0" fillId="4" fontId="11" numFmtId="165" xfId="0" applyAlignment="1" applyFill="1" applyFont="1" applyNumberFormat="1">
      <alignment horizontal="left" readingOrder="0" shrinkToFit="0" vertical="center" wrapText="1"/>
    </xf>
    <xf borderId="0" fillId="4" fontId="11" numFmtId="165" xfId="0" applyAlignment="1" applyFont="1" applyNumberFormat="1">
      <alignment horizontal="center" readingOrder="0" shrinkToFit="0" vertical="center" wrapText="1"/>
    </xf>
    <xf borderId="0" fillId="4" fontId="1" numFmtId="165" xfId="0" applyAlignment="1" applyFont="1" applyNumberFormat="1">
      <alignment horizontal="left" readingOrder="0" shrinkToFit="0" vertical="center" wrapText="1"/>
    </xf>
    <xf borderId="0" fillId="4" fontId="2" numFmtId="165" xfId="0" applyAlignment="1" applyFont="1" applyNumberFormat="1">
      <alignment horizontal="left" shrinkToFit="0" vertical="center" wrapText="1"/>
    </xf>
    <xf borderId="0" fillId="4" fontId="2" numFmtId="165" xfId="0" applyAlignment="1" applyFont="1" applyNumberFormat="1">
      <alignment horizontal="center" shrinkToFit="0" vertical="center" wrapText="1"/>
    </xf>
    <xf borderId="0" fillId="4" fontId="1" numFmtId="165" xfId="0" applyAlignment="1" applyFont="1" applyNumberFormat="1">
      <alignment horizontal="center" shrinkToFit="0" vertical="center" wrapText="1"/>
    </xf>
    <xf borderId="0" fillId="4" fontId="1" numFmtId="4" xfId="0" applyAlignment="1" applyFont="1" applyNumberFormat="1">
      <alignment horizontal="center" shrinkToFit="0" vertical="center" wrapText="1"/>
    </xf>
    <xf borderId="1" fillId="4" fontId="1" numFmtId="4" xfId="0" applyAlignment="1" applyBorder="1" applyFont="1" applyNumberFormat="1">
      <alignment horizontal="center" shrinkToFit="0" vertical="center" wrapText="1"/>
    </xf>
    <xf borderId="2" fillId="4" fontId="1" numFmtId="4" xfId="0" applyAlignment="1" applyBorder="1" applyFont="1" applyNumberFormat="1">
      <alignment horizontal="center" shrinkToFit="0" vertical="center" wrapText="1"/>
    </xf>
    <xf borderId="1" fillId="5" fontId="1" numFmtId="4" xfId="0" applyAlignment="1" applyBorder="1" applyFill="1" applyFont="1" applyNumberFormat="1">
      <alignment horizontal="center" shrinkToFit="0" vertical="center" wrapText="1"/>
    </xf>
    <xf borderId="2" fillId="5" fontId="1" numFmtId="3" xfId="0" applyAlignment="1" applyBorder="1" applyFont="1" applyNumberFormat="1">
      <alignment horizontal="center" shrinkToFit="0" vertical="center" wrapText="1"/>
    </xf>
    <xf borderId="0" fillId="4" fontId="1" numFmtId="165" xfId="0" applyAlignment="1" applyFont="1" applyNumberFormat="1">
      <alignment horizontal="left" shrinkToFit="0" vertical="center" wrapText="1"/>
    </xf>
    <xf borderId="0" fillId="4" fontId="1" numFmtId="166" xfId="0" applyAlignment="1" applyFont="1" applyNumberFormat="1">
      <alignment horizontal="center"/>
    </xf>
    <xf borderId="0" fillId="4" fontId="1" numFmtId="166" xfId="0" applyAlignment="1" applyFont="1" applyNumberFormat="1">
      <alignment horizontal="left"/>
    </xf>
    <xf borderId="0" fillId="4" fontId="1" numFmtId="166" xfId="0" applyAlignment="1" applyFont="1" applyNumberFormat="1">
      <alignment horizontal="center" shrinkToFit="0" vertical="center" wrapText="1"/>
    </xf>
    <xf borderId="0" fillId="4" fontId="8" numFmtId="10" xfId="0" applyAlignment="1" applyFont="1" applyNumberFormat="1">
      <alignment horizontal="center" shrinkToFit="0" vertical="center" wrapText="1"/>
    </xf>
    <xf borderId="0" fillId="4" fontId="2" numFmtId="4" xfId="0" applyAlignment="1" applyFont="1" applyNumberFormat="1">
      <alignment horizontal="center" shrinkToFit="0" vertical="center" wrapText="1"/>
    </xf>
    <xf borderId="0" fillId="4" fontId="2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horizontal="left" readingOrder="0" shrinkToFit="0" vertical="center" wrapText="1"/>
    </xf>
    <xf borderId="0" fillId="0" fontId="12" numFmtId="165" xfId="0" applyAlignment="1" applyFont="1" applyNumberFormat="1">
      <alignment horizontal="left" readingOrder="0" shrinkToFit="0" vertical="center" wrapText="1"/>
    </xf>
    <xf borderId="0" fillId="0" fontId="13" numFmtId="165" xfId="0" applyAlignment="1" applyFont="1" applyNumberFormat="1">
      <alignment horizontal="center" readingOrder="0" shrinkToFit="0" vertical="center" wrapText="1"/>
    </xf>
    <xf borderId="1" fillId="0" fontId="1" numFmtId="9" xfId="0" applyAlignment="1" applyBorder="1" applyFont="1" applyNumberFormat="1">
      <alignment horizontal="center" readingOrder="0" shrinkToFit="0" vertical="center" wrapText="1"/>
    </xf>
    <xf borderId="2" fillId="0" fontId="1" numFmtId="4" xfId="0" applyAlignment="1" applyBorder="1" applyFont="1" applyNumberFormat="1">
      <alignment horizontal="center" shrinkToFit="0" vertical="center" wrapText="1"/>
    </xf>
    <xf borderId="0" fillId="0" fontId="1" numFmtId="4" xfId="0" applyAlignment="1" applyFont="1" applyNumberFormat="1">
      <alignment horizontal="left" readingOrder="0" shrinkToFit="0" vertical="center" wrapText="1"/>
    </xf>
    <xf borderId="0" fillId="0" fontId="1" numFmtId="168" xfId="0" applyAlignment="1" applyFont="1" applyNumberFormat="1">
      <alignment horizontal="center" readingOrder="0"/>
    </xf>
    <xf borderId="0" fillId="0" fontId="1" numFmtId="168" xfId="0" applyAlignment="1" applyFont="1" applyNumberFormat="1">
      <alignment horizontal="left" readingOrder="0"/>
    </xf>
    <xf borderId="0" fillId="0" fontId="1" numFmtId="168" xfId="0" applyAlignment="1" applyFont="1" applyNumberFormat="1">
      <alignment horizontal="center" readingOrder="0" shrinkToFit="0" vertical="center" wrapText="1"/>
    </xf>
    <xf borderId="0" fillId="0" fontId="5" numFmtId="167" xfId="0" applyAlignment="1" applyFont="1" applyNumberFormat="1">
      <alignment horizontal="center" readingOrder="0" shrinkToFit="0" vertical="center" wrapText="1"/>
    </xf>
    <xf borderId="0" fillId="0" fontId="5" numFmtId="166" xfId="0" applyAlignment="1" applyFont="1" applyNumberFormat="1">
      <alignment horizontal="center" readingOrder="0" shrinkToFit="0" vertical="center" wrapText="1"/>
    </xf>
    <xf borderId="0" fillId="0" fontId="5" numFmtId="4" xfId="0" applyAlignment="1" applyFont="1" applyNumberFormat="1">
      <alignment horizontal="center" readingOrder="0" shrinkToFit="0" vertical="center" wrapText="1"/>
    </xf>
    <xf borderId="0" fillId="0" fontId="5" numFmtId="9" xfId="0" applyAlignment="1" applyFont="1" applyNumberFormat="1">
      <alignment horizontal="center" readingOrder="0" shrinkToFit="0" vertical="center" wrapText="1"/>
    </xf>
    <xf borderId="0" fillId="0" fontId="1" numFmtId="4" xfId="0" applyAlignment="1" applyFont="1" applyNumberFormat="1">
      <alignment horizontal="right" readingOrder="0" shrinkToFit="0" vertical="center" wrapText="1"/>
    </xf>
    <xf borderId="0" fillId="0" fontId="1" numFmtId="9" xfId="0" applyAlignment="1" applyFont="1" applyNumberFormat="1">
      <alignment horizontal="right" readingOrder="0" shrinkToFit="0" vertical="center" wrapText="1"/>
    </xf>
    <xf borderId="0" fillId="0" fontId="1" numFmtId="9" xfId="0" applyAlignment="1" applyFont="1" applyNumberFormat="1">
      <alignment horizontal="center" readingOrder="0" shrinkToFit="0" vertical="center" wrapText="1"/>
    </xf>
    <xf borderId="0" fillId="0" fontId="1" numFmtId="4" xfId="0" applyAlignment="1" applyFont="1" applyNumberFormat="1">
      <alignment horizontal="center" readingOrder="0"/>
    </xf>
    <xf borderId="0" fillId="0" fontId="1" numFmtId="4" xfId="0" applyAlignment="1" applyFont="1" applyNumberFormat="1">
      <alignment horizontal="left" readingOrder="0"/>
    </xf>
    <xf borderId="0" fillId="0" fontId="1" numFmtId="4" xfId="0" applyAlignment="1" applyFont="1" applyNumberFormat="1">
      <alignment horizontal="right" shrinkToFit="0" vertical="center" wrapText="0"/>
    </xf>
    <xf borderId="0" fillId="0" fontId="1" numFmtId="165" xfId="0" applyAlignment="1" applyFont="1" applyNumberFormat="1">
      <alignment horizontal="center" readingOrder="0" shrinkToFit="0" vertical="center" wrapText="1"/>
    </xf>
    <xf borderId="0" fillId="0" fontId="1" numFmtId="46" xfId="0" applyAlignment="1" applyFont="1" applyNumberFormat="1">
      <alignment horizontal="center" readingOrder="0" shrinkToFit="0" vertical="center" wrapText="1"/>
    </xf>
    <xf borderId="0" fillId="0" fontId="1" numFmtId="166" xfId="0" applyAlignment="1" applyFont="1" applyNumberFormat="1">
      <alignment horizontal="center" readingOrder="0"/>
    </xf>
    <xf borderId="0" fillId="0" fontId="1" numFmtId="166" xfId="0" applyAlignment="1" applyFont="1" applyNumberFormat="1">
      <alignment horizontal="left" readingOrder="0"/>
    </xf>
    <xf borderId="0" fillId="0" fontId="3" numFmtId="0" xfId="0" applyAlignment="1" applyFont="1">
      <alignment horizontal="center" readingOrder="0" shrinkToFit="0" vertical="center" wrapText="1"/>
    </xf>
    <xf borderId="1" fillId="0" fontId="1" numFmtId="4" xfId="0" applyAlignment="1" applyBorder="1" applyFont="1" applyNumberFormat="1">
      <alignment horizontal="center" shrinkToFit="0" vertical="center" wrapText="1"/>
    </xf>
    <xf borderId="2" fillId="0" fontId="1" numFmtId="3" xfId="0" applyAlignment="1" applyBorder="1" applyFont="1" applyNumberFormat="1">
      <alignment horizontal="center" shrinkToFit="0" vertical="center" wrapText="1"/>
    </xf>
    <xf borderId="0" fillId="0" fontId="5" numFmtId="166" xfId="0" applyAlignment="1" applyFont="1" applyNumberFormat="1">
      <alignment horizontal="center" readingOrder="0" shrinkToFit="0" vertical="center" wrapText="1"/>
    </xf>
    <xf borderId="0" fillId="0" fontId="1" numFmtId="0" xfId="0" applyAlignment="1" applyFont="1">
      <alignment horizontal="left" shrinkToFit="0" vertical="center" wrapText="1"/>
    </xf>
    <xf borderId="2" fillId="0" fontId="1" numFmtId="4" xfId="0" applyAlignment="1" applyBorder="1" applyFont="1" applyNumberFormat="1">
      <alignment horizontal="center" readingOrder="0" shrinkToFit="0" vertical="center" wrapText="1"/>
    </xf>
    <xf borderId="0" fillId="0" fontId="1" numFmtId="166" xfId="0" applyAlignment="1" applyFont="1" applyNumberFormat="1">
      <alignment horizontal="center"/>
    </xf>
    <xf borderId="0" fillId="0" fontId="1" numFmtId="166" xfId="0" applyAlignment="1" applyFont="1" applyNumberFormat="1">
      <alignment horizontal="left"/>
    </xf>
    <xf borderId="0" fillId="6" fontId="1" numFmtId="0" xfId="0" applyAlignment="1" applyFill="1" applyFont="1">
      <alignment shrinkToFit="0" vertical="center" wrapText="0"/>
    </xf>
    <xf borderId="0" fillId="6" fontId="1" numFmtId="0" xfId="0" applyAlignment="1" applyFont="1">
      <alignment horizontal="left" readingOrder="0" shrinkToFit="0" vertical="center" wrapText="1"/>
    </xf>
    <xf borderId="0" fillId="6" fontId="1" numFmtId="0" xfId="0" applyAlignment="1" applyFont="1">
      <alignment horizontal="center" readingOrder="0" shrinkToFit="0" vertical="center" wrapText="1"/>
    </xf>
    <xf borderId="0" fillId="6" fontId="1" numFmtId="165" xfId="0" applyAlignment="1" applyFont="1" applyNumberFormat="1">
      <alignment horizontal="left" readingOrder="0" shrinkToFit="0" vertical="center" wrapText="1"/>
    </xf>
    <xf borderId="0" fillId="6" fontId="14" numFmtId="165" xfId="0" applyAlignment="1" applyFont="1" applyNumberFormat="1">
      <alignment horizontal="left" readingOrder="0" shrinkToFit="0" vertical="center" wrapText="1"/>
    </xf>
    <xf borderId="0" fillId="6" fontId="1" numFmtId="165" xfId="0" applyAlignment="1" applyFont="1" applyNumberFormat="1">
      <alignment horizontal="center" readingOrder="0" shrinkToFit="0" vertical="center" wrapText="1"/>
    </xf>
    <xf borderId="0" fillId="6" fontId="1" numFmtId="46" xfId="0" applyAlignment="1" applyFont="1" applyNumberFormat="1">
      <alignment horizontal="center" readingOrder="0" shrinkToFit="0" vertical="center" wrapText="1"/>
    </xf>
    <xf borderId="0" fillId="6" fontId="1" numFmtId="4" xfId="0" applyAlignment="1" applyFont="1" applyNumberFormat="1">
      <alignment horizontal="center" shrinkToFit="0" vertical="center" wrapText="1"/>
    </xf>
    <xf borderId="1" fillId="6" fontId="1" numFmtId="9" xfId="0" applyAlignment="1" applyBorder="1" applyFont="1" applyNumberFormat="1">
      <alignment horizontal="center" readingOrder="0" shrinkToFit="0" vertical="center" wrapText="1"/>
    </xf>
    <xf borderId="2" fillId="6" fontId="1" numFmtId="4" xfId="0" applyAlignment="1" applyBorder="1" applyFont="1" applyNumberFormat="1">
      <alignment horizontal="center" readingOrder="0" shrinkToFit="0" vertical="center" wrapText="1"/>
    </xf>
    <xf borderId="1" fillId="6" fontId="1" numFmtId="4" xfId="0" applyAlignment="1" applyBorder="1" applyFont="1" applyNumberFormat="1">
      <alignment horizontal="center" shrinkToFit="0" vertical="center" wrapText="1"/>
    </xf>
    <xf borderId="2" fillId="6" fontId="1" numFmtId="3" xfId="0" applyAlignment="1" applyBorder="1" applyFont="1" applyNumberFormat="1">
      <alignment horizontal="center" shrinkToFit="0" vertical="center" wrapText="1"/>
    </xf>
    <xf borderId="0" fillId="6" fontId="1" numFmtId="4" xfId="0" applyAlignment="1" applyFont="1" applyNumberFormat="1">
      <alignment horizontal="left" readingOrder="0" shrinkToFit="0" vertical="center" wrapText="1"/>
    </xf>
    <xf borderId="0" fillId="6" fontId="1" numFmtId="167" xfId="0" applyAlignment="1" applyFont="1" applyNumberFormat="1">
      <alignment horizontal="left" readingOrder="0" shrinkToFit="0" vertical="center" wrapText="1"/>
    </xf>
    <xf borderId="0" fillId="6" fontId="1" numFmtId="166" xfId="0" applyAlignment="1" applyFont="1" applyNumberFormat="1">
      <alignment horizontal="center" readingOrder="0"/>
    </xf>
    <xf borderId="0" fillId="6" fontId="1" numFmtId="166" xfId="0" applyAlignment="1" applyFont="1" applyNumberFormat="1">
      <alignment horizontal="center"/>
    </xf>
    <xf borderId="0" fillId="6" fontId="1" numFmtId="166" xfId="0" applyAlignment="1" applyFont="1" applyNumberFormat="1">
      <alignment horizontal="left" readingOrder="0"/>
    </xf>
    <xf borderId="0" fillId="6" fontId="1" numFmtId="166" xfId="0" applyAlignment="1" applyFont="1" applyNumberFormat="1">
      <alignment horizontal="left"/>
    </xf>
    <xf borderId="0" fillId="6" fontId="1" numFmtId="166" xfId="0" applyAlignment="1" applyFont="1" applyNumberFormat="1">
      <alignment horizontal="center" readingOrder="0" shrinkToFit="0" vertical="center" wrapText="1"/>
    </xf>
    <xf borderId="0" fillId="6" fontId="1" numFmtId="167" xfId="0" applyAlignment="1" applyFont="1" applyNumberFormat="1">
      <alignment horizontal="center" readingOrder="0" shrinkToFit="0" vertical="center" wrapText="1"/>
    </xf>
    <xf borderId="0" fillId="6" fontId="5" numFmtId="166" xfId="0" applyAlignment="1" applyFont="1" applyNumberFormat="1">
      <alignment horizontal="center" readingOrder="0" shrinkToFit="0" vertical="center" wrapText="1"/>
    </xf>
    <xf borderId="0" fillId="6" fontId="5" numFmtId="4" xfId="0" applyAlignment="1" applyFont="1" applyNumberFormat="1">
      <alignment horizontal="center" readingOrder="0" shrinkToFit="0" vertical="center" wrapText="1"/>
    </xf>
    <xf borderId="0" fillId="6" fontId="5" numFmtId="9" xfId="0" applyAlignment="1" applyFont="1" applyNumberFormat="1">
      <alignment horizontal="center" readingOrder="0" shrinkToFit="0" vertical="center" wrapText="1"/>
    </xf>
    <xf borderId="0" fillId="6" fontId="1" numFmtId="4" xfId="0" applyAlignment="1" applyFont="1" applyNumberFormat="1">
      <alignment horizontal="center" readingOrder="0" shrinkToFit="0" vertical="center" wrapText="1"/>
    </xf>
    <xf borderId="0" fillId="6" fontId="1" numFmtId="4" xfId="0" applyAlignment="1" applyFont="1" applyNumberFormat="1">
      <alignment horizontal="right" shrinkToFit="0" vertical="center" wrapText="1"/>
    </xf>
    <xf borderId="0" fillId="6" fontId="1" numFmtId="9" xfId="0" applyAlignment="1" applyFont="1" applyNumberFormat="1">
      <alignment horizontal="center" readingOrder="0" shrinkToFit="0" vertical="center" wrapText="1"/>
    </xf>
    <xf borderId="0" fillId="7" fontId="1" numFmtId="0" xfId="0" applyAlignment="1" applyFill="1" applyFont="1">
      <alignment shrinkToFit="0" vertical="center" wrapText="0"/>
    </xf>
    <xf borderId="0" fillId="7" fontId="1" numFmtId="0" xfId="0" applyAlignment="1" applyFont="1">
      <alignment horizontal="left" readingOrder="0" shrinkToFit="0" vertical="center" wrapText="1"/>
    </xf>
    <xf borderId="0" fillId="7" fontId="1" numFmtId="0" xfId="0" applyAlignment="1" applyFont="1">
      <alignment horizontal="center" readingOrder="0" shrinkToFit="0" vertical="center" wrapText="1"/>
    </xf>
    <xf borderId="0" fillId="7" fontId="1" numFmtId="165" xfId="0" applyAlignment="1" applyFont="1" applyNumberFormat="1">
      <alignment horizontal="left" readingOrder="0" shrinkToFit="0" vertical="center" wrapText="1"/>
    </xf>
    <xf borderId="0" fillId="7" fontId="15" numFmtId="165" xfId="0" applyAlignment="1" applyFont="1" applyNumberFormat="1">
      <alignment horizontal="left" readingOrder="0" shrinkToFit="0" vertical="center" wrapText="1"/>
    </xf>
    <xf borderId="0" fillId="7" fontId="1" numFmtId="165" xfId="0" applyAlignment="1" applyFont="1" applyNumberFormat="1">
      <alignment horizontal="center" readingOrder="0" shrinkToFit="0" vertical="center" wrapText="1"/>
    </xf>
    <xf borderId="0" fillId="7" fontId="1" numFmtId="46" xfId="0" applyAlignment="1" applyFont="1" applyNumberFormat="1">
      <alignment horizontal="center" readingOrder="0" shrinkToFit="0" vertical="center" wrapText="1"/>
    </xf>
    <xf borderId="0" fillId="7" fontId="3" numFmtId="0" xfId="0" applyAlignment="1" applyFont="1">
      <alignment horizontal="center" readingOrder="0" shrinkToFit="0" vertical="center" wrapText="1"/>
    </xf>
    <xf borderId="0" fillId="7" fontId="1" numFmtId="4" xfId="0" applyAlignment="1" applyFont="1" applyNumberFormat="1">
      <alignment horizontal="center" readingOrder="0" shrinkToFit="0" vertical="center" wrapText="1"/>
    </xf>
    <xf borderId="1" fillId="7" fontId="1" numFmtId="9" xfId="0" applyAlignment="1" applyBorder="1" applyFont="1" applyNumberFormat="1">
      <alignment horizontal="center" readingOrder="0" shrinkToFit="0" vertical="center" wrapText="1"/>
    </xf>
    <xf borderId="2" fillId="7" fontId="1" numFmtId="4" xfId="0" applyAlignment="1" applyBorder="1" applyFont="1" applyNumberFormat="1">
      <alignment horizontal="center" shrinkToFit="0" vertical="center" wrapText="1"/>
    </xf>
    <xf borderId="1" fillId="7" fontId="1" numFmtId="4" xfId="0" applyAlignment="1" applyBorder="1" applyFont="1" applyNumberFormat="1">
      <alignment horizontal="center" shrinkToFit="0" vertical="center" wrapText="1"/>
    </xf>
    <xf borderId="2" fillId="7" fontId="1" numFmtId="3" xfId="0" applyAlignment="1" applyBorder="1" applyFont="1" applyNumberFormat="1">
      <alignment horizontal="center" shrinkToFit="0" vertical="center" wrapText="1"/>
    </xf>
    <xf borderId="0" fillId="7" fontId="1" numFmtId="4" xfId="0" applyAlignment="1" applyFont="1" applyNumberFormat="1">
      <alignment horizontal="left" readingOrder="0" shrinkToFit="0" vertical="center" wrapText="1"/>
    </xf>
    <xf borderId="0" fillId="7" fontId="1" numFmtId="167" xfId="0" applyAlignment="1" applyFont="1" applyNumberFormat="1">
      <alignment horizontal="left" readingOrder="0" shrinkToFit="0" vertical="center" wrapText="1"/>
    </xf>
    <xf borderId="0" fillId="7" fontId="1" numFmtId="166" xfId="0" applyAlignment="1" applyFont="1" applyNumberFormat="1">
      <alignment horizontal="center" readingOrder="0"/>
    </xf>
    <xf borderId="0" fillId="7" fontId="1" numFmtId="166" xfId="0" applyAlignment="1" applyFont="1" applyNumberFormat="1">
      <alignment horizontal="left" readingOrder="0"/>
    </xf>
    <xf borderId="0" fillId="7" fontId="1" numFmtId="166" xfId="0" applyAlignment="1" applyFont="1" applyNumberFormat="1">
      <alignment horizontal="center" readingOrder="0" shrinkToFit="0" vertical="center" wrapText="1"/>
    </xf>
    <xf borderId="0" fillId="7" fontId="1" numFmtId="167" xfId="0" applyAlignment="1" applyFont="1" applyNumberFormat="1">
      <alignment horizontal="center" readingOrder="0" shrinkToFit="0" vertical="center" wrapText="1"/>
    </xf>
    <xf borderId="0" fillId="7" fontId="5" numFmtId="166" xfId="0" applyAlignment="1" applyFont="1" applyNumberFormat="1">
      <alignment horizontal="center" readingOrder="0" shrinkToFit="0" vertical="center" wrapText="1"/>
    </xf>
    <xf borderId="0" fillId="7" fontId="5" numFmtId="4" xfId="0" applyAlignment="1" applyFont="1" applyNumberFormat="1">
      <alignment horizontal="center" readingOrder="0" shrinkToFit="0" vertical="center" wrapText="1"/>
    </xf>
    <xf borderId="0" fillId="7" fontId="5" numFmtId="9" xfId="0" applyAlignment="1" applyFont="1" applyNumberFormat="1">
      <alignment horizontal="center" readingOrder="0" shrinkToFit="0" vertical="center" wrapText="1"/>
    </xf>
    <xf borderId="0" fillId="7" fontId="1" numFmtId="4" xfId="0" applyAlignment="1" applyFont="1" applyNumberFormat="1">
      <alignment horizontal="right" shrinkToFit="0" vertical="center" wrapText="1"/>
    </xf>
    <xf borderId="0" fillId="7" fontId="1" numFmtId="9" xfId="0" applyAlignment="1" applyFont="1" applyNumberFormat="1">
      <alignment horizontal="center" readingOrder="0" shrinkToFit="0" vertical="center" wrapText="1"/>
    </xf>
    <xf borderId="0" fillId="7" fontId="1" numFmtId="4" xfId="0" applyAlignment="1" applyFont="1" applyNumberFormat="1">
      <alignment horizontal="center" shrinkToFit="0" vertical="center" wrapText="1"/>
    </xf>
    <xf borderId="0" fillId="2" fontId="3" numFmtId="0" xfId="0" applyAlignment="1" applyFont="1">
      <alignment horizontal="right" shrinkToFit="0" vertical="center" wrapText="0"/>
    </xf>
    <xf borderId="0" fillId="2" fontId="3" numFmtId="0" xfId="0" applyAlignment="1" applyFont="1">
      <alignment horizontal="right" readingOrder="0" shrinkToFit="0" vertical="center" wrapText="1"/>
    </xf>
    <xf borderId="0" fillId="2" fontId="3" numFmtId="165" xfId="0" applyAlignment="1" applyFont="1" applyNumberFormat="1">
      <alignment horizontal="right" readingOrder="0" shrinkToFit="0" vertical="center" wrapText="1"/>
    </xf>
    <xf borderId="0" fillId="2" fontId="16" numFmtId="165" xfId="0" applyAlignment="1" applyFont="1" applyNumberFormat="1">
      <alignment horizontal="right" readingOrder="0" shrinkToFit="0" vertical="center" wrapText="1"/>
    </xf>
    <xf borderId="0" fillId="2" fontId="3" numFmtId="165" xfId="0" applyAlignment="1" applyFont="1" applyNumberFormat="1">
      <alignment horizontal="right" readingOrder="0" shrinkToFit="0" vertical="center" wrapText="1"/>
    </xf>
    <xf borderId="0" fillId="2" fontId="3" numFmtId="46" xfId="0" applyAlignment="1" applyFont="1" applyNumberFormat="1">
      <alignment horizontal="right" readingOrder="0" shrinkToFit="0" vertical="center" wrapText="1"/>
    </xf>
    <xf borderId="0" fillId="2" fontId="3" numFmtId="4" xfId="0" applyAlignment="1" applyFont="1" applyNumberFormat="1">
      <alignment horizontal="right" readingOrder="0" shrinkToFit="0" vertical="center" wrapText="1"/>
    </xf>
    <xf borderId="1" fillId="2" fontId="3" numFmtId="9" xfId="0" applyAlignment="1" applyBorder="1" applyFont="1" applyNumberFormat="1">
      <alignment horizontal="right" readingOrder="0" shrinkToFit="0" vertical="center" wrapText="1"/>
    </xf>
    <xf borderId="2" fillId="2" fontId="3" numFmtId="4" xfId="0" applyAlignment="1" applyBorder="1" applyFont="1" applyNumberFormat="1">
      <alignment horizontal="right" shrinkToFit="0" vertical="center" wrapText="1"/>
    </xf>
    <xf borderId="1" fillId="2" fontId="3" numFmtId="4" xfId="0" applyAlignment="1" applyBorder="1" applyFont="1" applyNumberFormat="1">
      <alignment horizontal="right" shrinkToFit="0" vertical="center" wrapText="1"/>
    </xf>
    <xf borderId="2" fillId="2" fontId="3" numFmtId="3" xfId="0" applyAlignment="1" applyBorder="1" applyFont="1" applyNumberFormat="1">
      <alignment horizontal="right" shrinkToFit="0" vertical="center" wrapText="1"/>
    </xf>
    <xf borderId="0" fillId="2" fontId="3" numFmtId="167" xfId="0" applyAlignment="1" applyFont="1" applyNumberFormat="1">
      <alignment horizontal="right" readingOrder="0" shrinkToFit="0" vertical="center" wrapText="1"/>
    </xf>
    <xf borderId="0" fillId="2" fontId="1" numFmtId="166" xfId="0" applyAlignment="1" applyFont="1" applyNumberFormat="1">
      <alignment horizontal="center" readingOrder="0"/>
    </xf>
    <xf borderId="0" fillId="2" fontId="1" numFmtId="166" xfId="0" applyAlignment="1" applyFont="1" applyNumberFormat="1">
      <alignment horizontal="left" readingOrder="0"/>
    </xf>
    <xf borderId="0" fillId="2" fontId="3" numFmtId="166" xfId="0" applyAlignment="1" applyFont="1" applyNumberFormat="1">
      <alignment horizontal="right" readingOrder="0" shrinkToFit="0" vertical="center" wrapText="1"/>
    </xf>
    <xf borderId="0" fillId="2" fontId="17" numFmtId="166" xfId="0" applyAlignment="1" applyFont="1" applyNumberFormat="1">
      <alignment horizontal="right" readingOrder="0" shrinkToFit="0" vertical="center" wrapText="1"/>
    </xf>
    <xf borderId="0" fillId="2" fontId="5" numFmtId="4" xfId="0" applyAlignment="1" applyFont="1" applyNumberFormat="1">
      <alignment horizontal="center" readingOrder="0" shrinkToFit="0" vertical="center" wrapText="1"/>
    </xf>
    <xf borderId="0" fillId="2" fontId="17" numFmtId="9" xfId="0" applyAlignment="1" applyFont="1" applyNumberFormat="1">
      <alignment horizontal="right" readingOrder="0" shrinkToFit="0" vertical="center" wrapText="1"/>
    </xf>
    <xf borderId="0" fillId="2" fontId="1" numFmtId="4" xfId="0" applyAlignment="1" applyFont="1" applyNumberFormat="1">
      <alignment horizontal="center" readingOrder="0" shrinkToFit="0" vertical="center" wrapText="1"/>
    </xf>
    <xf borderId="0" fillId="2" fontId="1" numFmtId="4" xfId="0" applyAlignment="1" applyFont="1" applyNumberFormat="1">
      <alignment horizontal="right" shrinkToFit="0" vertical="center" wrapText="1"/>
    </xf>
    <xf borderId="0" fillId="2" fontId="1" numFmtId="4" xfId="0" applyAlignment="1" applyFont="1" applyNumberFormat="1">
      <alignment horizontal="center" shrinkToFit="0" vertical="center" wrapText="1"/>
    </xf>
    <xf borderId="0" fillId="2" fontId="1" numFmtId="166" xfId="0" applyAlignment="1" applyFont="1" applyNumberFormat="1">
      <alignment horizontal="center"/>
    </xf>
    <xf borderId="0" fillId="2" fontId="1" numFmtId="0" xfId="0" applyAlignment="1" applyFont="1">
      <alignment shrinkToFit="0" vertical="center" wrapText="0"/>
    </xf>
    <xf borderId="0" fillId="2" fontId="1" numFmtId="0" xfId="0" applyAlignment="1" applyFont="1">
      <alignment horizontal="left" readingOrder="0" shrinkToFit="0" vertical="center" wrapText="1"/>
    </xf>
    <xf borderId="0" fillId="2" fontId="1" numFmtId="0" xfId="0" applyAlignment="1" applyFont="1">
      <alignment horizontal="center" readingOrder="0" shrinkToFit="0" vertical="center" wrapText="1"/>
    </xf>
    <xf borderId="0" fillId="2" fontId="1" numFmtId="165" xfId="0" applyAlignment="1" applyFont="1" applyNumberFormat="1">
      <alignment horizontal="left" readingOrder="0" shrinkToFit="0" vertical="center" wrapText="1"/>
    </xf>
    <xf borderId="0" fillId="2" fontId="1" numFmtId="165" xfId="0" applyAlignment="1" applyFont="1" applyNumberFormat="1">
      <alignment horizontal="center" readingOrder="0" shrinkToFit="0" vertical="center" wrapText="1"/>
    </xf>
    <xf borderId="0" fillId="2" fontId="1" numFmtId="46" xfId="0" applyAlignment="1" applyFont="1" applyNumberFormat="1">
      <alignment horizontal="center" readingOrder="0" shrinkToFit="0" vertical="center" wrapText="1"/>
    </xf>
    <xf borderId="0" fillId="2" fontId="3" numFmtId="0" xfId="0" applyAlignment="1" applyFont="1">
      <alignment horizontal="center" readingOrder="0" shrinkToFit="0" vertical="center" wrapText="1"/>
    </xf>
    <xf borderId="1" fillId="2" fontId="1" numFmtId="9" xfId="0" applyAlignment="1" applyBorder="1" applyFont="1" applyNumberFormat="1">
      <alignment horizontal="center" readingOrder="0" shrinkToFit="0" vertical="center" wrapText="1"/>
    </xf>
    <xf borderId="2" fillId="2" fontId="1" numFmtId="4" xfId="0" applyAlignment="1" applyBorder="1" applyFont="1" applyNumberFormat="1">
      <alignment horizontal="center" shrinkToFit="0" vertical="center" wrapText="1"/>
    </xf>
    <xf borderId="1" fillId="2" fontId="1" numFmtId="4" xfId="0" applyAlignment="1" applyBorder="1" applyFont="1" applyNumberFormat="1">
      <alignment horizontal="center" shrinkToFit="0" vertical="center" wrapText="1"/>
    </xf>
    <xf borderId="2" fillId="2" fontId="1" numFmtId="3" xfId="0" applyAlignment="1" applyBorder="1" applyFont="1" applyNumberFormat="1">
      <alignment horizontal="center" shrinkToFit="0" vertical="center" wrapText="1"/>
    </xf>
    <xf borderId="0" fillId="2" fontId="1" numFmtId="4" xfId="0" applyAlignment="1" applyFont="1" applyNumberFormat="1">
      <alignment horizontal="left" readingOrder="0" shrinkToFit="0" vertical="center" wrapText="1"/>
    </xf>
    <xf borderId="0" fillId="2" fontId="1" numFmtId="167" xfId="0" applyAlignment="1" applyFont="1" applyNumberFormat="1">
      <alignment horizontal="left" readingOrder="0" shrinkToFit="0" vertical="center" wrapText="1"/>
    </xf>
    <xf borderId="0" fillId="2" fontId="1" numFmtId="166" xfId="0" applyAlignment="1" applyFont="1" applyNumberFormat="1">
      <alignment horizontal="center" readingOrder="0" shrinkToFit="0" vertical="center" wrapText="1"/>
    </xf>
    <xf borderId="0" fillId="2" fontId="1" numFmtId="167" xfId="0" applyAlignment="1" applyFont="1" applyNumberFormat="1">
      <alignment horizontal="center" readingOrder="0" shrinkToFit="0" vertical="center" wrapText="1"/>
    </xf>
    <xf borderId="0" fillId="2" fontId="5" numFmtId="166" xfId="0" applyAlignment="1" applyFont="1" applyNumberFormat="1">
      <alignment horizontal="center" readingOrder="0" shrinkToFit="0" vertical="center" wrapText="1"/>
    </xf>
    <xf borderId="0" fillId="2" fontId="5" numFmtId="9" xfId="0" applyAlignment="1" applyFont="1" applyNumberFormat="1">
      <alignment horizontal="center" readingOrder="0" shrinkToFit="0" vertical="center" wrapText="1"/>
    </xf>
    <xf borderId="0" fillId="2" fontId="18" numFmtId="165" xfId="0" applyAlignment="1" applyFont="1" applyNumberFormat="1">
      <alignment horizontal="left" readingOrder="0" shrinkToFit="0" vertical="center" wrapText="1"/>
    </xf>
    <xf borderId="0" fillId="8" fontId="3" numFmtId="0" xfId="0" applyAlignment="1" applyFill="1" applyFont="1">
      <alignment horizontal="right" shrinkToFit="0" vertical="center" wrapText="0"/>
    </xf>
    <xf borderId="0" fillId="8" fontId="3" numFmtId="0" xfId="0" applyAlignment="1" applyFont="1">
      <alignment horizontal="right" readingOrder="0" shrinkToFit="0" vertical="center" wrapText="1"/>
    </xf>
    <xf borderId="0" fillId="8" fontId="3" numFmtId="165" xfId="0" applyAlignment="1" applyFont="1" applyNumberFormat="1">
      <alignment horizontal="right" readingOrder="0" shrinkToFit="0" vertical="center" wrapText="1"/>
    </xf>
    <xf borderId="0" fillId="8" fontId="19" numFmtId="165" xfId="0" applyAlignment="1" applyFont="1" applyNumberFormat="1">
      <alignment horizontal="right" shrinkToFit="0" vertical="center" wrapText="1"/>
    </xf>
    <xf borderId="0" fillId="8" fontId="3" numFmtId="165" xfId="0" applyAlignment="1" applyFont="1" applyNumberFormat="1">
      <alignment horizontal="right" readingOrder="0" shrinkToFit="0" vertical="center" wrapText="1"/>
    </xf>
    <xf borderId="0" fillId="8" fontId="3" numFmtId="46" xfId="0" applyAlignment="1" applyFont="1" applyNumberFormat="1">
      <alignment horizontal="right" readingOrder="0" shrinkToFit="0" vertical="center" wrapText="1"/>
    </xf>
    <xf borderId="0" fillId="8" fontId="3" numFmtId="4" xfId="0" applyAlignment="1" applyFont="1" applyNumberFormat="1">
      <alignment horizontal="right" readingOrder="0" shrinkToFit="0" vertical="center" wrapText="1"/>
    </xf>
    <xf borderId="0" fillId="8" fontId="3" numFmtId="4" xfId="0" applyAlignment="1" applyFont="1" applyNumberFormat="1">
      <alignment horizontal="right" shrinkToFit="0" vertical="center" wrapText="1"/>
    </xf>
    <xf borderId="1" fillId="8" fontId="3" numFmtId="9" xfId="0" applyAlignment="1" applyBorder="1" applyFont="1" applyNumberFormat="1">
      <alignment horizontal="right" readingOrder="0" shrinkToFit="0" vertical="center" wrapText="1"/>
    </xf>
    <xf borderId="2" fillId="8" fontId="3" numFmtId="4" xfId="0" applyAlignment="1" applyBorder="1" applyFont="1" applyNumberFormat="1">
      <alignment horizontal="right" shrinkToFit="0" vertical="center" wrapText="1"/>
    </xf>
    <xf borderId="1" fillId="8" fontId="3" numFmtId="4" xfId="0" applyAlignment="1" applyBorder="1" applyFont="1" applyNumberFormat="1">
      <alignment horizontal="right" shrinkToFit="0" vertical="center" wrapText="1"/>
    </xf>
    <xf borderId="2" fillId="8" fontId="3" numFmtId="3" xfId="0" applyAlignment="1" applyBorder="1" applyFont="1" applyNumberFormat="1">
      <alignment horizontal="right" shrinkToFit="0" vertical="center" wrapText="1"/>
    </xf>
    <xf borderId="0" fillId="8" fontId="3" numFmtId="167" xfId="0" applyAlignment="1" applyFont="1" applyNumberFormat="1">
      <alignment horizontal="right" readingOrder="0" shrinkToFit="0" vertical="center" wrapText="1"/>
    </xf>
    <xf borderId="0" fillId="8" fontId="3" numFmtId="166" xfId="0" applyAlignment="1" applyFont="1" applyNumberFormat="1">
      <alignment horizontal="right" readingOrder="0" shrinkToFit="0" vertical="center" wrapText="1"/>
    </xf>
    <xf borderId="0" fillId="8" fontId="17" numFmtId="166" xfId="0" applyAlignment="1" applyFont="1" applyNumberFormat="1">
      <alignment horizontal="right" readingOrder="0" shrinkToFit="0" vertical="center" wrapText="1"/>
    </xf>
    <xf borderId="0" fillId="8" fontId="17" numFmtId="4" xfId="0" applyAlignment="1" applyFont="1" applyNumberFormat="1">
      <alignment horizontal="center" readingOrder="0" shrinkToFit="0" vertical="center" wrapText="1"/>
    </xf>
    <xf borderId="0" fillId="8" fontId="17" numFmtId="9" xfId="0" applyAlignment="1" applyFont="1" applyNumberFormat="1">
      <alignment horizontal="right" readingOrder="0" shrinkToFit="0" vertical="center" wrapText="1"/>
    </xf>
    <xf borderId="0" fillId="0" fontId="1" numFmtId="166" xfId="0" applyAlignment="1" applyFont="1" applyNumberFormat="1">
      <alignment horizontal="center" shrinkToFit="0" vertical="center" wrapText="1"/>
    </xf>
    <xf borderId="0" fillId="0" fontId="1" numFmtId="165" xfId="0" applyAlignment="1" applyFont="1" applyNumberFormat="1">
      <alignment horizontal="center"/>
    </xf>
    <xf borderId="0" fillId="0" fontId="20" numFmtId="165" xfId="0" applyAlignment="1" applyFont="1" applyNumberFormat="1">
      <alignment horizontal="left" readingOrder="0"/>
    </xf>
    <xf borderId="0" fillId="0" fontId="21" numFmtId="165" xfId="0" applyAlignment="1" applyFont="1" applyNumberFormat="1">
      <alignment horizontal="left" readingOrder="0" shrinkToFit="0" vertical="center" wrapText="1"/>
    </xf>
    <xf borderId="1" fillId="5" fontId="1" numFmtId="4" xfId="0" applyAlignment="1" applyBorder="1" applyFont="1" applyNumberFormat="1">
      <alignment horizontal="center" readingOrder="0" shrinkToFit="0" vertical="center" wrapText="1"/>
    </xf>
    <xf borderId="0" fillId="0" fontId="1" numFmtId="165" xfId="0" applyAlignment="1" applyFont="1" applyNumberFormat="1">
      <alignment horizontal="center" readingOrder="0"/>
    </xf>
    <xf borderId="0" fillId="0" fontId="5" numFmtId="0" xfId="0" applyAlignment="1" applyFont="1">
      <alignment vertical="center"/>
    </xf>
    <xf borderId="0" fillId="0" fontId="5" numFmtId="165" xfId="0" applyAlignment="1" applyFont="1" applyNumberFormat="1">
      <alignment readingOrder="0" shrinkToFit="0" vertical="center" wrapText="1"/>
    </xf>
    <xf borderId="0" fillId="0" fontId="1" numFmtId="165" xfId="0" applyAlignment="1" applyFont="1" applyNumberFormat="1">
      <alignment horizontal="left" shrinkToFit="0" vertical="center" wrapText="1"/>
    </xf>
    <xf borderId="0" fillId="0" fontId="22" numFmtId="165" xfId="0" applyAlignment="1" applyFont="1" applyNumberFormat="1">
      <alignment horizontal="left" shrinkToFit="0" vertical="center" wrapText="1"/>
    </xf>
    <xf borderId="0" fillId="0" fontId="23" numFmtId="168" xfId="0" applyAlignment="1" applyFont="1" applyNumberFormat="1">
      <alignment horizontal="center" shrinkToFit="0" vertical="center" wrapText="1"/>
    </xf>
    <xf borderId="0" fillId="0" fontId="24" numFmtId="46" xfId="0" applyAlignment="1" applyFont="1" applyNumberFormat="1">
      <alignment horizontal="center" shrinkToFit="0" vertical="center" wrapText="1"/>
    </xf>
    <xf borderId="0" fillId="0" fontId="1" numFmtId="168" xfId="0" applyAlignment="1" applyFont="1" applyNumberFormat="1">
      <alignment horizontal="center" shrinkToFit="0" vertical="center" wrapText="1"/>
    </xf>
    <xf borderId="0" fillId="0" fontId="1" numFmtId="49" xfId="0" applyAlignment="1" applyFont="1" applyNumberFormat="1">
      <alignment horizontal="center" shrinkToFit="0" vertical="center" wrapText="1"/>
    </xf>
    <xf borderId="1" fillId="0" fontId="1" numFmtId="49" xfId="0" applyAlignment="1" applyBorder="1" applyFont="1" applyNumberFormat="1">
      <alignment horizontal="center" shrinkToFit="0" vertical="center" wrapText="1"/>
    </xf>
    <xf borderId="2" fillId="0" fontId="1" numFmtId="49" xfId="0" applyAlignment="1" applyBorder="1" applyFont="1" applyNumberFormat="1">
      <alignment horizontal="center" shrinkToFit="0" vertical="center" wrapText="1"/>
    </xf>
    <xf borderId="1" fillId="5" fontId="1" numFmtId="49" xfId="0" applyAlignment="1" applyBorder="1" applyFont="1" applyNumberFormat="1">
      <alignment horizontal="center" shrinkToFit="0" vertical="center" wrapText="1"/>
    </xf>
    <xf borderId="0" fillId="0" fontId="1" numFmtId="168" xfId="0" applyAlignment="1" applyFont="1" applyNumberFormat="1">
      <alignment horizontal="center" readingOrder="0" shrinkToFit="0" vertical="center" wrapText="1"/>
    </xf>
    <xf borderId="0" fillId="0" fontId="1" numFmtId="168" xfId="0" applyAlignment="1" applyFont="1" applyNumberFormat="1">
      <alignment horizontal="center"/>
    </xf>
    <xf borderId="0" fillId="0" fontId="5" numFmtId="4" xfId="0" applyAlignment="1" applyFont="1" applyNumberFormat="1">
      <alignment horizontal="center" shrinkToFit="0" vertical="center" wrapText="1"/>
    </xf>
    <xf borderId="0" fillId="0" fontId="5" numFmtId="4" xfId="0" applyAlignment="1" applyFont="1" applyNumberFormat="1">
      <alignment shrinkToFit="0" vertical="center" wrapText="1"/>
    </xf>
    <xf borderId="0" fillId="9" fontId="5" numFmtId="0" xfId="0" applyAlignment="1" applyFill="1" applyFont="1">
      <alignment vertical="center"/>
    </xf>
    <xf borderId="0" fillId="9" fontId="5" numFmtId="165" xfId="0" applyAlignment="1" applyFont="1" applyNumberFormat="1">
      <alignment readingOrder="0" shrinkToFit="0" vertical="center" wrapText="1"/>
    </xf>
    <xf borderId="0" fillId="9" fontId="1" numFmtId="0" xfId="0" applyAlignment="1" applyFont="1">
      <alignment horizontal="center" readingOrder="0" shrinkToFit="0" vertical="center" wrapText="1"/>
    </xf>
    <xf borderId="0" fillId="9" fontId="1" numFmtId="165" xfId="0" applyAlignment="1" applyFont="1" applyNumberFormat="1">
      <alignment horizontal="center" readingOrder="0"/>
    </xf>
    <xf borderId="0" fillId="9" fontId="1" numFmtId="165" xfId="0" applyAlignment="1" applyFont="1" applyNumberFormat="1">
      <alignment horizontal="left" readingOrder="0" shrinkToFit="0" vertical="center" wrapText="1"/>
    </xf>
    <xf borderId="0" fillId="9" fontId="25" numFmtId="165" xfId="0" applyAlignment="1" applyFont="1" applyNumberFormat="1">
      <alignment horizontal="left" readingOrder="0"/>
    </xf>
    <xf borderId="0" fillId="9" fontId="26" numFmtId="165" xfId="0" applyAlignment="1" applyFont="1" applyNumberFormat="1">
      <alignment horizontal="left" shrinkToFit="0" vertical="center" wrapText="1"/>
    </xf>
    <xf borderId="0" fillId="9" fontId="27" numFmtId="168" xfId="0" applyAlignment="1" applyFont="1" applyNumberFormat="1">
      <alignment horizontal="center" shrinkToFit="0" vertical="center" wrapText="1"/>
    </xf>
    <xf borderId="0" fillId="9" fontId="28" numFmtId="46" xfId="0" applyAlignment="1" applyFont="1" applyNumberFormat="1">
      <alignment horizontal="center" shrinkToFit="0" vertical="center" wrapText="1"/>
    </xf>
    <xf borderId="0" fillId="9" fontId="1" numFmtId="168" xfId="0" applyAlignment="1" applyFont="1" applyNumberFormat="1">
      <alignment horizontal="center" shrinkToFit="0" vertical="center" wrapText="1"/>
    </xf>
    <xf borderId="0" fillId="9" fontId="1" numFmtId="49" xfId="0" applyAlignment="1" applyFont="1" applyNumberFormat="1">
      <alignment horizontal="center" shrinkToFit="0" vertical="center" wrapText="1"/>
    </xf>
    <xf borderId="1" fillId="9" fontId="1" numFmtId="49" xfId="0" applyAlignment="1" applyBorder="1" applyFont="1" applyNumberFormat="1">
      <alignment horizontal="center" shrinkToFit="0" vertical="center" wrapText="1"/>
    </xf>
    <xf borderId="2" fillId="9" fontId="1" numFmtId="49" xfId="0" applyAlignment="1" applyBorder="1" applyFont="1" applyNumberFormat="1">
      <alignment horizontal="center" shrinkToFit="0" vertical="center" wrapText="1"/>
    </xf>
    <xf borderId="2" fillId="9" fontId="1" numFmtId="3" xfId="0" applyAlignment="1" applyBorder="1" applyFont="1" applyNumberFormat="1">
      <alignment horizontal="center" shrinkToFit="0" vertical="center" wrapText="1"/>
    </xf>
    <xf borderId="0" fillId="9" fontId="1" numFmtId="168" xfId="0" applyAlignment="1" applyFont="1" applyNumberFormat="1">
      <alignment horizontal="center" readingOrder="0" shrinkToFit="0" vertical="center" wrapText="1"/>
    </xf>
    <xf borderId="0" fillId="9" fontId="1" numFmtId="168" xfId="0" applyAlignment="1" applyFont="1" applyNumberFormat="1">
      <alignment horizontal="center" readingOrder="0"/>
    </xf>
    <xf borderId="0" fillId="9" fontId="1" numFmtId="168" xfId="0" applyAlignment="1" applyFont="1" applyNumberFormat="1">
      <alignment horizontal="center"/>
    </xf>
    <xf borderId="0" fillId="9" fontId="5" numFmtId="167" xfId="0" applyAlignment="1" applyFont="1" applyNumberFormat="1">
      <alignment horizontal="center" readingOrder="0" shrinkToFit="0" vertical="center" wrapText="1"/>
    </xf>
    <xf borderId="0" fillId="9" fontId="5" numFmtId="166" xfId="0" applyAlignment="1" applyFont="1" applyNumberFormat="1">
      <alignment horizontal="center" readingOrder="0" shrinkToFit="0" vertical="center" wrapText="1"/>
    </xf>
    <xf borderId="0" fillId="9" fontId="5" numFmtId="4" xfId="0" applyAlignment="1" applyFont="1" applyNumberFormat="1">
      <alignment horizontal="center" readingOrder="0" shrinkToFit="0" vertical="center" wrapText="1"/>
    </xf>
    <xf borderId="0" fillId="9" fontId="5" numFmtId="9" xfId="0" applyAlignment="1" applyFont="1" applyNumberFormat="1">
      <alignment horizontal="center" readingOrder="0" shrinkToFit="0" vertical="center" wrapText="1"/>
    </xf>
    <xf borderId="0" fillId="9" fontId="5" numFmtId="4" xfId="0" applyAlignment="1" applyFont="1" applyNumberFormat="1">
      <alignment horizontal="center" shrinkToFit="0" vertical="center" wrapText="1"/>
    </xf>
    <xf borderId="0" fillId="9" fontId="5" numFmtId="4" xfId="0" applyAlignment="1" applyFont="1" applyNumberFormat="1">
      <alignment shrinkToFit="0" vertical="center" wrapText="1"/>
    </xf>
    <xf borderId="0" fillId="9" fontId="1" numFmtId="4" xfId="0" applyAlignment="1" applyFont="1" applyNumberFormat="1">
      <alignment horizontal="right" shrinkToFit="0" vertical="center" wrapText="1"/>
    </xf>
    <xf borderId="0" fillId="9" fontId="1" numFmtId="4" xfId="0" applyAlignment="1" applyFont="1" applyNumberFormat="1">
      <alignment horizontal="center" shrinkToFit="0" vertical="center" wrapText="1"/>
    </xf>
    <xf borderId="0" fillId="0" fontId="1" numFmtId="165" xfId="0" applyAlignment="1" applyFont="1" applyNumberFormat="1">
      <alignment horizontal="left" readingOrder="0" shrinkToFit="0" vertical="center" wrapText="1"/>
    </xf>
    <xf borderId="0" fillId="2" fontId="29" numFmtId="165" xfId="0" applyAlignment="1" applyFont="1" applyNumberFormat="1">
      <alignment horizontal="left" readingOrder="0"/>
    </xf>
    <xf borderId="0" fillId="0" fontId="30" numFmtId="165" xfId="0" applyAlignment="1" applyFont="1" applyNumberFormat="1">
      <alignment horizontal="left" shrinkToFit="0" vertical="center" wrapText="1"/>
    </xf>
    <xf borderId="0" fillId="0" fontId="31" numFmtId="168" xfId="0" applyAlignment="1" applyFont="1" applyNumberFormat="1">
      <alignment horizontal="center" shrinkToFit="0" vertical="center" wrapText="1"/>
    </xf>
    <xf borderId="0" fillId="0" fontId="32" numFmtId="46" xfId="0" applyAlignment="1" applyFont="1" applyNumberFormat="1">
      <alignment horizontal="center" shrinkToFit="0" vertical="center" wrapText="1"/>
    </xf>
    <xf borderId="0" fillId="0" fontId="1" numFmtId="168" xfId="0" applyAlignment="1" applyFont="1" applyNumberFormat="1">
      <alignment horizontal="center" shrinkToFit="0" vertical="center" wrapText="1"/>
    </xf>
    <xf borderId="0" fillId="0" fontId="1" numFmtId="49" xfId="0" applyAlignment="1" applyFont="1" applyNumberFormat="1">
      <alignment horizontal="center" shrinkToFit="0" vertical="center" wrapText="1"/>
    </xf>
    <xf borderId="1" fillId="0" fontId="1" numFmtId="49" xfId="0" applyAlignment="1" applyBorder="1" applyFont="1" applyNumberFormat="1">
      <alignment horizontal="center" shrinkToFit="0" vertical="center" wrapText="1"/>
    </xf>
    <xf borderId="2" fillId="0" fontId="1" numFmtId="49" xfId="0" applyAlignment="1" applyBorder="1" applyFont="1" applyNumberFormat="1">
      <alignment horizontal="center" shrinkToFit="0" vertical="center" wrapText="1"/>
    </xf>
    <xf borderId="0" fillId="2" fontId="1" numFmtId="168" xfId="0" applyAlignment="1" applyFont="1" applyNumberFormat="1">
      <alignment horizontal="center" readingOrder="0"/>
    </xf>
    <xf borderId="0" fillId="2" fontId="1" numFmtId="168" xfId="0" applyAlignment="1" applyFont="1" applyNumberFormat="1">
      <alignment horizontal="center"/>
    </xf>
    <xf borderId="0" fillId="0" fontId="5" numFmtId="167" xfId="0" applyAlignment="1" applyFont="1" applyNumberFormat="1">
      <alignment horizontal="center" readingOrder="0" shrinkToFit="0" vertical="center" wrapText="1"/>
    </xf>
    <xf borderId="0" fillId="0" fontId="5" numFmtId="4" xfId="0" applyAlignment="1" applyFont="1" applyNumberFormat="1">
      <alignment horizontal="center" readingOrder="0" shrinkToFit="0" vertical="center" wrapText="1"/>
    </xf>
    <xf borderId="0" fillId="0" fontId="1" numFmtId="165" xfId="0" applyAlignment="1" applyFont="1" applyNumberFormat="1">
      <alignment horizontal="left" shrinkToFit="0" vertical="center" wrapText="1"/>
    </xf>
    <xf borderId="0" fillId="0" fontId="33" numFmtId="165" xfId="0" applyAlignment="1" applyFont="1" applyNumberFormat="1">
      <alignment horizontal="left" readingOrder="0" shrinkToFit="0" vertical="center" wrapText="1"/>
    </xf>
    <xf borderId="0" fillId="0" fontId="5" numFmtId="0" xfId="0" applyAlignment="1" applyFont="1">
      <alignment readingOrder="0" shrinkToFit="0" vertical="center" wrapText="1"/>
    </xf>
    <xf borderId="0" fillId="0" fontId="34" numFmtId="165" xfId="0" applyAlignment="1" applyFont="1" applyNumberFormat="1">
      <alignment horizontal="center" shrinkToFit="0" vertical="center" wrapText="1"/>
    </xf>
    <xf borderId="0" fillId="0" fontId="5" numFmtId="165" xfId="0" applyAlignment="1" applyFont="1" applyNumberFormat="1">
      <alignment horizontal="center" readingOrder="0" shrinkToFit="0" vertical="center" wrapText="1"/>
    </xf>
    <xf borderId="0" fillId="0" fontId="5" numFmtId="165" xfId="0" applyAlignment="1" applyFont="1" applyNumberFormat="1">
      <alignment horizontal="center" shrinkToFit="0" vertical="center" wrapText="1"/>
    </xf>
    <xf borderId="0" fillId="0" fontId="5" numFmtId="49" xfId="0" applyAlignment="1" applyFont="1" applyNumberFormat="1">
      <alignment horizontal="center" readingOrder="0" shrinkToFit="0" vertical="center" wrapText="1"/>
    </xf>
    <xf borderId="1" fillId="0" fontId="5" numFmtId="49" xfId="0" applyAlignment="1" applyBorder="1" applyFont="1" applyNumberFormat="1">
      <alignment horizontal="center" readingOrder="0" shrinkToFit="0" vertical="center" wrapText="1"/>
    </xf>
    <xf borderId="2" fillId="0" fontId="5" numFmtId="49" xfId="0" applyAlignment="1" applyBorder="1" applyFont="1" applyNumberFormat="1">
      <alignment horizontal="center" readingOrder="0" shrinkToFit="0" vertical="center" wrapText="1"/>
    </xf>
    <xf borderId="1" fillId="5" fontId="5" numFmtId="49" xfId="0" applyAlignment="1" applyBorder="1" applyFont="1" applyNumberFormat="1">
      <alignment horizontal="center" readingOrder="0" shrinkToFit="0" vertical="center" wrapText="1"/>
    </xf>
    <xf borderId="2" fillId="5" fontId="5" numFmtId="3" xfId="0" applyAlignment="1" applyBorder="1" applyFont="1" applyNumberFormat="1">
      <alignment horizontal="center" readingOrder="0" shrinkToFit="0" vertical="center" wrapText="1"/>
    </xf>
    <xf borderId="0" fillId="0" fontId="5" numFmtId="166" xfId="0" applyAlignment="1" applyFont="1" applyNumberFormat="1">
      <alignment horizontal="center" readingOrder="0"/>
    </xf>
    <xf borderId="0" fillId="0" fontId="5" numFmtId="49" xfId="0" applyAlignment="1" applyFont="1" applyNumberFormat="1">
      <alignment horizontal="left" vertical="center"/>
    </xf>
    <xf borderId="0" fillId="0" fontId="5" numFmtId="165" xfId="0" applyAlignment="1" applyFont="1" applyNumberFormat="1">
      <alignment horizontal="left" readingOrder="0" shrinkToFit="0" wrapText="0"/>
    </xf>
    <xf borderId="0" fillId="0" fontId="5" numFmtId="3" xfId="0" applyAlignment="1" applyFont="1" applyNumberFormat="1">
      <alignment horizontal="center" readingOrder="0"/>
    </xf>
    <xf borderId="0" fillId="0" fontId="1" numFmtId="3" xfId="0" applyAlignment="1" applyFont="1" applyNumberFormat="1">
      <alignment horizontal="center" readingOrder="0"/>
    </xf>
    <xf borderId="0" fillId="0" fontId="1" numFmtId="3" xfId="0" applyAlignment="1" applyFont="1" applyNumberFormat="1">
      <alignment horizontal="center"/>
    </xf>
    <xf borderId="0" fillId="0" fontId="5" numFmtId="3" xfId="0" applyAlignment="1" applyFont="1" applyNumberFormat="1">
      <alignment horizontal="center" readingOrder="0" shrinkToFit="0" vertical="center" wrapText="1"/>
    </xf>
    <xf borderId="0" fillId="0" fontId="5" numFmtId="9" xfId="0" applyAlignment="1" applyFont="1" applyNumberFormat="1">
      <alignment horizontal="center" readingOrder="0" shrinkToFit="0" vertical="center" wrapText="1"/>
    </xf>
    <xf borderId="0" fillId="6" fontId="5" numFmtId="165" xfId="0" applyAlignment="1" applyFont="1" applyNumberFormat="1">
      <alignment readingOrder="0" shrinkToFit="0" vertical="center" wrapText="1"/>
    </xf>
    <xf borderId="0" fillId="6" fontId="5" numFmtId="49" xfId="0" applyAlignment="1" applyFont="1" applyNumberFormat="1">
      <alignment horizontal="left" vertical="center"/>
    </xf>
    <xf borderId="0" fillId="6" fontId="5" numFmtId="165" xfId="0" applyAlignment="1" applyFont="1" applyNumberFormat="1">
      <alignment horizontal="left" readingOrder="0" shrinkToFit="0" wrapText="0"/>
    </xf>
    <xf borderId="0" fillId="6" fontId="35" numFmtId="165" xfId="0" applyAlignment="1" applyFont="1" applyNumberFormat="1">
      <alignment horizontal="left" readingOrder="0"/>
    </xf>
    <xf borderId="0" fillId="6" fontId="5" numFmtId="165" xfId="0" applyAlignment="1" applyFont="1" applyNumberFormat="1">
      <alignment horizontal="center" shrinkToFit="0" vertical="center" wrapText="1"/>
    </xf>
    <xf borderId="0" fillId="6" fontId="5" numFmtId="165" xfId="0" applyAlignment="1" applyFont="1" applyNumberFormat="1">
      <alignment horizontal="center" readingOrder="0" shrinkToFit="0" vertical="center" wrapText="1"/>
    </xf>
    <xf borderId="0" fillId="6" fontId="5" numFmtId="49" xfId="0" applyAlignment="1" applyFont="1" applyNumberFormat="1">
      <alignment horizontal="center" readingOrder="0" shrinkToFit="0" vertical="center" wrapText="1"/>
    </xf>
    <xf borderId="1" fillId="6" fontId="5" numFmtId="49" xfId="0" applyAlignment="1" applyBorder="1" applyFont="1" applyNumberFormat="1">
      <alignment horizontal="center" readingOrder="0" shrinkToFit="0" vertical="center" wrapText="1"/>
    </xf>
    <xf borderId="2" fillId="6" fontId="5" numFmtId="49" xfId="0" applyAlignment="1" applyBorder="1" applyFont="1" applyNumberFormat="1">
      <alignment horizontal="center" readingOrder="0" shrinkToFit="0" vertical="center" wrapText="1"/>
    </xf>
    <xf borderId="2" fillId="6" fontId="5" numFmtId="3" xfId="0" applyAlignment="1" applyBorder="1" applyFont="1" applyNumberFormat="1">
      <alignment horizontal="center" readingOrder="0" shrinkToFit="0" vertical="center" wrapText="1"/>
    </xf>
    <xf borderId="0" fillId="6" fontId="1" numFmtId="168" xfId="0" applyAlignment="1" applyFont="1" applyNumberFormat="1">
      <alignment horizontal="center" readingOrder="0" shrinkToFit="0" vertical="center" wrapText="1"/>
    </xf>
    <xf borderId="0" fillId="6" fontId="5" numFmtId="3" xfId="0" applyAlignment="1" applyFont="1" applyNumberFormat="1">
      <alignment horizontal="center" readingOrder="0"/>
    </xf>
    <xf borderId="0" fillId="6" fontId="1" numFmtId="3" xfId="0" applyAlignment="1" applyFont="1" applyNumberFormat="1">
      <alignment horizontal="center" readingOrder="0"/>
    </xf>
    <xf borderId="0" fillId="6" fontId="1" numFmtId="3" xfId="0" applyAlignment="1" applyFont="1" applyNumberFormat="1">
      <alignment horizontal="center"/>
    </xf>
    <xf borderId="0" fillId="6" fontId="5" numFmtId="3" xfId="0" applyAlignment="1" applyFont="1" applyNumberFormat="1">
      <alignment horizontal="center" readingOrder="0" shrinkToFit="0" vertical="center" wrapText="1"/>
    </xf>
    <xf borderId="0" fillId="6" fontId="5" numFmtId="4" xfId="0" applyAlignment="1" applyFont="1" applyNumberFormat="1">
      <alignment horizontal="center" shrinkToFit="0" vertical="center" wrapText="1"/>
    </xf>
    <xf borderId="0" fillId="6" fontId="5" numFmtId="4" xfId="0" applyAlignment="1" applyFont="1" applyNumberFormat="1">
      <alignment shrinkToFit="0" vertical="center" wrapText="1"/>
    </xf>
    <xf borderId="0" fillId="6" fontId="36" numFmtId="165" xfId="0" applyAlignment="1" applyFont="1" applyNumberFormat="1">
      <alignment horizontal="left" readingOrder="0"/>
    </xf>
    <xf borderId="0" fillId="6" fontId="1" numFmtId="165" xfId="0" applyAlignment="1" applyFont="1" applyNumberFormat="1">
      <alignment horizontal="left" shrinkToFit="0" vertical="center" wrapText="1"/>
    </xf>
    <xf borderId="0" fillId="6" fontId="5" numFmtId="49" xfId="0" applyAlignment="1" applyFont="1" applyNumberFormat="1">
      <alignment horizontal="left" readingOrder="0" vertical="center"/>
    </xf>
    <xf borderId="0" fillId="6" fontId="1" numFmtId="165" xfId="0" applyAlignment="1" applyFont="1" applyNumberFormat="1">
      <alignment horizontal="left" readingOrder="0"/>
    </xf>
    <xf borderId="0" fillId="0" fontId="5" numFmtId="49" xfId="0" applyAlignment="1" applyFont="1" applyNumberFormat="1">
      <alignment horizontal="left" readingOrder="0" vertical="center"/>
    </xf>
    <xf borderId="0" fillId="0" fontId="1" numFmtId="165" xfId="0" applyAlignment="1" applyFont="1" applyNumberFormat="1">
      <alignment horizontal="left" readingOrder="0"/>
    </xf>
    <xf borderId="0" fillId="10" fontId="5" numFmtId="0" xfId="0" applyAlignment="1" applyFill="1" applyFont="1">
      <alignment vertical="center"/>
    </xf>
    <xf borderId="0" fillId="10" fontId="5" numFmtId="165" xfId="0" applyAlignment="1" applyFont="1" applyNumberFormat="1">
      <alignment readingOrder="0" shrinkToFit="0" vertical="center" wrapText="1"/>
    </xf>
    <xf borderId="0" fillId="10" fontId="5" numFmtId="49" xfId="0" applyAlignment="1" applyFont="1" applyNumberFormat="1">
      <alignment horizontal="left" vertical="center"/>
    </xf>
    <xf borderId="0" fillId="10" fontId="5" numFmtId="165" xfId="0" applyAlignment="1" applyFont="1" applyNumberFormat="1">
      <alignment horizontal="left" readingOrder="0" shrinkToFit="0" wrapText="0"/>
    </xf>
    <xf borderId="0" fillId="10" fontId="1" numFmtId="165" xfId="0" applyAlignment="1" applyFont="1" applyNumberFormat="1">
      <alignment horizontal="left" readingOrder="0" shrinkToFit="0" vertical="center" wrapText="1"/>
    </xf>
    <xf borderId="0" fillId="10" fontId="37" numFmtId="165" xfId="0" applyAlignment="1" applyFont="1" applyNumberFormat="1">
      <alignment horizontal="left" readingOrder="0"/>
    </xf>
    <xf borderId="0" fillId="10" fontId="38" numFmtId="165" xfId="0" applyAlignment="1" applyFont="1" applyNumberFormat="1">
      <alignment horizontal="left" readingOrder="0" shrinkToFit="0" vertical="center" wrapText="1"/>
    </xf>
    <xf borderId="0" fillId="10" fontId="5" numFmtId="165" xfId="0" applyAlignment="1" applyFont="1" applyNumberFormat="1">
      <alignment horizontal="center" shrinkToFit="0" vertical="center" wrapText="1"/>
    </xf>
    <xf borderId="0" fillId="10" fontId="5" numFmtId="49" xfId="0" applyAlignment="1" applyFont="1" applyNumberFormat="1">
      <alignment horizontal="center" readingOrder="0" shrinkToFit="0" vertical="center" wrapText="1"/>
    </xf>
    <xf borderId="1" fillId="10" fontId="5" numFmtId="49" xfId="0" applyAlignment="1" applyBorder="1" applyFont="1" applyNumberFormat="1">
      <alignment horizontal="center" readingOrder="0" shrinkToFit="0" vertical="center" wrapText="1"/>
    </xf>
    <xf borderId="2" fillId="10" fontId="5" numFmtId="49" xfId="0" applyAlignment="1" applyBorder="1" applyFont="1" applyNumberFormat="1">
      <alignment horizontal="center" readingOrder="0" shrinkToFit="0" vertical="center" wrapText="1"/>
    </xf>
    <xf borderId="2" fillId="10" fontId="5" numFmtId="3" xfId="0" applyAlignment="1" applyBorder="1" applyFont="1" applyNumberFormat="1">
      <alignment horizontal="center" readingOrder="0" shrinkToFit="0" vertical="center" wrapText="1"/>
    </xf>
    <xf borderId="0" fillId="10" fontId="1" numFmtId="168" xfId="0" applyAlignment="1" applyFont="1" applyNumberFormat="1">
      <alignment horizontal="center" readingOrder="0" shrinkToFit="0" vertical="center" wrapText="1"/>
    </xf>
    <xf borderId="0" fillId="10" fontId="5" numFmtId="3" xfId="0" applyAlignment="1" applyFont="1" applyNumberFormat="1">
      <alignment horizontal="center" readingOrder="0"/>
    </xf>
    <xf borderId="0" fillId="10" fontId="1" numFmtId="3" xfId="0" applyAlignment="1" applyFont="1" applyNumberFormat="1">
      <alignment horizontal="center" readingOrder="0"/>
    </xf>
    <xf borderId="0" fillId="10" fontId="1" numFmtId="3" xfId="0" applyAlignment="1" applyFont="1" applyNumberFormat="1">
      <alignment horizontal="center"/>
    </xf>
    <xf borderId="0" fillId="10" fontId="5" numFmtId="3" xfId="0" applyAlignment="1" applyFont="1" applyNumberFormat="1">
      <alignment horizontal="center" readingOrder="0" shrinkToFit="0" vertical="center" wrapText="1"/>
    </xf>
    <xf borderId="0" fillId="10" fontId="5" numFmtId="165" xfId="0" applyAlignment="1" applyFont="1" applyNumberFormat="1">
      <alignment horizontal="center" readingOrder="0" shrinkToFit="0" vertical="center" wrapText="1"/>
    </xf>
    <xf borderId="0" fillId="10" fontId="5" numFmtId="166" xfId="0" applyAlignment="1" applyFont="1" applyNumberFormat="1">
      <alignment horizontal="center" readingOrder="0" shrinkToFit="0" vertical="center" wrapText="1"/>
    </xf>
    <xf borderId="0" fillId="10" fontId="5" numFmtId="4" xfId="0" applyAlignment="1" applyFont="1" applyNumberFormat="1">
      <alignment horizontal="center" readingOrder="0" shrinkToFit="0" vertical="center" wrapText="1"/>
    </xf>
    <xf borderId="0" fillId="10" fontId="5" numFmtId="9" xfId="0" applyAlignment="1" applyFont="1" applyNumberFormat="1">
      <alignment horizontal="center" readingOrder="0" shrinkToFit="0" vertical="center" wrapText="1"/>
    </xf>
    <xf borderId="0" fillId="10" fontId="5" numFmtId="4" xfId="0" applyAlignment="1" applyFont="1" applyNumberFormat="1">
      <alignment horizontal="center" shrinkToFit="0" vertical="center" wrapText="1"/>
    </xf>
    <xf borderId="0" fillId="10" fontId="5" numFmtId="4" xfId="0" applyAlignment="1" applyFont="1" applyNumberFormat="1">
      <alignment shrinkToFit="0" vertical="center" wrapText="1"/>
    </xf>
    <xf borderId="0" fillId="10" fontId="1" numFmtId="4" xfId="0" applyAlignment="1" applyFont="1" applyNumberFormat="1">
      <alignment horizontal="right" shrinkToFit="0" vertical="center" wrapText="1"/>
    </xf>
    <xf borderId="0" fillId="10" fontId="1" numFmtId="4" xfId="0" applyAlignment="1" applyFont="1" applyNumberFormat="1">
      <alignment horizontal="center" shrinkToFit="0" vertical="center" wrapText="1"/>
    </xf>
    <xf borderId="0" fillId="10" fontId="1" numFmtId="165" xfId="0" applyAlignment="1" applyFont="1" applyNumberFormat="1">
      <alignment horizontal="left" shrinkToFit="0" vertical="center" wrapText="1"/>
    </xf>
    <xf borderId="0" fillId="10" fontId="1" numFmtId="165" xfId="0" applyAlignment="1" applyFont="1" applyNumberFormat="1">
      <alignment horizontal="left" readingOrder="0"/>
    </xf>
    <xf borderId="0" fillId="0" fontId="39" numFmtId="165" xfId="0" applyAlignment="1" applyFont="1" applyNumberFormat="1">
      <alignment horizontal="left"/>
    </xf>
    <xf borderId="0" fillId="10" fontId="5" numFmtId="3" xfId="0" applyAlignment="1" applyFont="1" applyNumberFormat="1">
      <alignment horizontal="center"/>
    </xf>
    <xf borderId="0" fillId="0" fontId="5" numFmtId="165" xfId="0" applyAlignment="1" applyFont="1" applyNumberFormat="1">
      <alignment horizontal="left" shrinkToFit="0" wrapText="0"/>
    </xf>
    <xf borderId="0" fillId="0" fontId="5" numFmtId="3" xfId="0" applyAlignment="1" applyFont="1" applyNumberFormat="1">
      <alignment horizontal="center"/>
    </xf>
    <xf borderId="0" fillId="7" fontId="1" numFmtId="0" xfId="0" applyAlignment="1" applyFont="1">
      <alignment horizontal="left" vertical="center"/>
    </xf>
    <xf borderId="0" fillId="7" fontId="5" numFmtId="165" xfId="0" applyAlignment="1" applyFont="1" applyNumberFormat="1">
      <alignment horizontal="left" readingOrder="0" shrinkToFit="0" vertical="center" wrapText="1"/>
    </xf>
    <xf borderId="0" fillId="7" fontId="5" numFmtId="49" xfId="0" applyAlignment="1" applyFont="1" applyNumberFormat="1">
      <alignment horizontal="left" vertical="center"/>
    </xf>
    <xf borderId="0" fillId="7" fontId="5" numFmtId="165" xfId="0" applyAlignment="1" applyFont="1" applyNumberFormat="1">
      <alignment horizontal="left" readingOrder="0" shrinkToFit="0" wrapText="0"/>
    </xf>
    <xf borderId="0" fillId="7" fontId="40" numFmtId="165" xfId="0" applyAlignment="1" applyFont="1" applyNumberFormat="1">
      <alignment horizontal="left" readingOrder="0"/>
    </xf>
    <xf borderId="0" fillId="7" fontId="41" numFmtId="168" xfId="0" applyAlignment="1" applyFont="1" applyNumberFormat="1">
      <alignment horizontal="left" readingOrder="0" shrinkToFit="0" vertical="center" wrapText="1"/>
    </xf>
    <xf borderId="0" fillId="7" fontId="42" numFmtId="168" xfId="0" applyAlignment="1" applyFont="1" applyNumberFormat="1">
      <alignment horizontal="left" shrinkToFit="0" vertical="center" wrapText="1"/>
    </xf>
    <xf borderId="0" fillId="7" fontId="1" numFmtId="49" xfId="0" applyAlignment="1" applyFont="1" applyNumberFormat="1">
      <alignment horizontal="left" shrinkToFit="0" vertical="center" wrapText="1"/>
    </xf>
    <xf borderId="1" fillId="7" fontId="1" numFmtId="49" xfId="0" applyAlignment="1" applyBorder="1" applyFont="1" applyNumberFormat="1">
      <alignment horizontal="left" shrinkToFit="0" vertical="center" wrapText="1"/>
    </xf>
    <xf borderId="2" fillId="7" fontId="1" numFmtId="49" xfId="0" applyAlignment="1" applyBorder="1" applyFont="1" applyNumberFormat="1">
      <alignment horizontal="left" shrinkToFit="0" vertical="center" wrapText="1"/>
    </xf>
    <xf borderId="2" fillId="7" fontId="1" numFmtId="3" xfId="0" applyAlignment="1" applyBorder="1" applyFont="1" applyNumberFormat="1">
      <alignment horizontal="left" shrinkToFit="0" vertical="center" wrapText="1"/>
    </xf>
    <xf borderId="0" fillId="7" fontId="1" numFmtId="168" xfId="0" applyAlignment="1" applyFont="1" applyNumberFormat="1">
      <alignment horizontal="left" readingOrder="0"/>
    </xf>
    <xf borderId="0" fillId="7" fontId="5" numFmtId="3" xfId="0" applyAlignment="1" applyFont="1" applyNumberFormat="1">
      <alignment horizontal="center" readingOrder="0"/>
    </xf>
    <xf borderId="0" fillId="7" fontId="1" numFmtId="168" xfId="0" applyAlignment="1" applyFont="1" applyNumberFormat="1">
      <alignment horizontal="left"/>
    </xf>
    <xf borderId="0" fillId="7" fontId="1" numFmtId="168" xfId="0" applyAlignment="1" applyFont="1" applyNumberFormat="1">
      <alignment horizontal="left" readingOrder="0" shrinkToFit="0" vertical="center" wrapText="1"/>
    </xf>
    <xf borderId="0" fillId="7" fontId="5" numFmtId="166" xfId="0" applyAlignment="1" applyFont="1" applyNumberFormat="1">
      <alignment horizontal="left" readingOrder="0" shrinkToFit="0" vertical="center" wrapText="1"/>
    </xf>
    <xf borderId="0" fillId="7" fontId="5" numFmtId="4" xfId="0" applyAlignment="1" applyFont="1" applyNumberFormat="1">
      <alignment horizontal="left" readingOrder="0" shrinkToFit="0" vertical="center" wrapText="1"/>
    </xf>
    <xf borderId="0" fillId="7" fontId="5" numFmtId="9" xfId="0" applyAlignment="1" applyFont="1" applyNumberFormat="1">
      <alignment horizontal="left" readingOrder="0" shrinkToFit="0" vertical="center" wrapText="1"/>
    </xf>
    <xf borderId="0" fillId="7" fontId="1" numFmtId="4" xfId="0" applyAlignment="1" applyFont="1" applyNumberFormat="1">
      <alignment horizontal="left" shrinkToFit="0" vertical="center" wrapText="1"/>
    </xf>
    <xf borderId="0" fillId="7" fontId="1" numFmtId="9" xfId="0" applyAlignment="1" applyFont="1" applyNumberFormat="1">
      <alignment horizontal="left" readingOrder="0" shrinkToFit="0" vertical="center" wrapText="1"/>
    </xf>
    <xf borderId="0" fillId="7" fontId="1" numFmtId="49" xfId="0" applyAlignment="1" applyFont="1" applyNumberFormat="1">
      <alignment horizontal="left" readingOrder="0" shrinkToFit="0" vertical="center" wrapText="1"/>
    </xf>
    <xf borderId="0" fillId="0" fontId="1" numFmtId="0" xfId="0" applyAlignment="1" applyFont="1">
      <alignment horizontal="left" vertical="center"/>
    </xf>
    <xf borderId="0" fillId="0" fontId="5" numFmtId="49" xfId="0" applyAlignment="1" applyFont="1" applyNumberFormat="1">
      <alignment horizontal="left" vertical="center"/>
    </xf>
    <xf borderId="0" fillId="2" fontId="5" numFmtId="165" xfId="0" applyAlignment="1" applyFont="1" applyNumberFormat="1">
      <alignment horizontal="left" readingOrder="0" shrinkToFit="0" wrapText="0"/>
    </xf>
    <xf borderId="0" fillId="2" fontId="1" numFmtId="165" xfId="0" applyAlignment="1" applyFont="1" applyNumberFormat="1">
      <alignment horizontal="left" readingOrder="0"/>
    </xf>
    <xf borderId="0" fillId="0" fontId="43" numFmtId="168" xfId="0" applyAlignment="1" applyFont="1" applyNumberFormat="1">
      <alignment horizontal="left" shrinkToFit="0" vertical="center" wrapText="1"/>
    </xf>
    <xf borderId="0" fillId="0" fontId="1" numFmtId="49" xfId="0" applyAlignment="1" applyFont="1" applyNumberFormat="1">
      <alignment horizontal="left" readingOrder="0" shrinkToFit="0" vertical="center" wrapText="1"/>
    </xf>
    <xf borderId="0" fillId="0" fontId="1" numFmtId="49" xfId="0" applyAlignment="1" applyFont="1" applyNumberFormat="1">
      <alignment horizontal="left" shrinkToFit="0" vertical="center" wrapText="1"/>
    </xf>
    <xf borderId="1" fillId="0" fontId="1" numFmtId="49" xfId="0" applyAlignment="1" applyBorder="1" applyFont="1" applyNumberFormat="1">
      <alignment horizontal="left" shrinkToFit="0" vertical="center" wrapText="1"/>
    </xf>
    <xf borderId="2" fillId="0" fontId="1" numFmtId="49" xfId="0" applyAlignment="1" applyBorder="1" applyFont="1" applyNumberFormat="1">
      <alignment horizontal="left" shrinkToFit="0" vertical="center" wrapText="1"/>
    </xf>
    <xf borderId="1" fillId="5" fontId="1" numFmtId="49" xfId="0" applyAlignment="1" applyBorder="1" applyFont="1" applyNumberFormat="1">
      <alignment horizontal="left" shrinkToFit="0" vertical="center" wrapText="1"/>
    </xf>
    <xf borderId="2" fillId="5" fontId="1" numFmtId="3" xfId="0" applyAlignment="1" applyBorder="1" applyFont="1" applyNumberFormat="1">
      <alignment horizontal="left" shrinkToFit="0" vertical="center" wrapText="1"/>
    </xf>
    <xf borderId="0" fillId="0" fontId="1" numFmtId="167" xfId="0" applyAlignment="1" applyFont="1" applyNumberFormat="1">
      <alignment horizontal="left" readingOrder="0" shrinkToFit="0" vertical="center" wrapText="1"/>
    </xf>
    <xf borderId="0" fillId="2" fontId="1" numFmtId="168" xfId="0" applyAlignment="1" applyFont="1" applyNumberFormat="1">
      <alignment horizontal="left" readingOrder="0"/>
    </xf>
    <xf borderId="0" fillId="0" fontId="1" numFmtId="168" xfId="0" applyAlignment="1" applyFont="1" applyNumberFormat="1">
      <alignment horizontal="left"/>
    </xf>
    <xf borderId="0" fillId="0" fontId="1" numFmtId="168" xfId="0" applyAlignment="1" applyFont="1" applyNumberFormat="1">
      <alignment horizontal="left" shrinkToFit="0" vertical="center" wrapText="1"/>
    </xf>
    <xf borderId="0" fillId="0" fontId="5" numFmtId="166" xfId="0" applyAlignment="1" applyFont="1" applyNumberFormat="1">
      <alignment horizontal="left" readingOrder="0" shrinkToFit="0" vertical="center" wrapText="1"/>
    </xf>
    <xf borderId="0" fillId="0" fontId="5" numFmtId="4" xfId="0" applyAlignment="1" applyFont="1" applyNumberFormat="1">
      <alignment horizontal="left" readingOrder="0" shrinkToFit="0" vertical="center" wrapText="1"/>
    </xf>
    <xf borderId="0" fillId="0" fontId="5" numFmtId="9" xfId="0" applyAlignment="1" applyFont="1" applyNumberFormat="1">
      <alignment horizontal="left" readingOrder="0" shrinkToFit="0" vertical="center" wrapText="1"/>
    </xf>
    <xf borderId="0" fillId="0" fontId="1" numFmtId="4" xfId="0" applyAlignment="1" applyFont="1" applyNumberFormat="1">
      <alignment horizontal="left" shrinkToFit="0" vertical="center" wrapText="1"/>
    </xf>
    <xf borderId="0" fillId="0" fontId="44" numFmtId="168" xfId="0" applyAlignment="1" applyFont="1" applyNumberFormat="1">
      <alignment horizontal="left" readingOrder="0" shrinkToFit="0" vertical="center" wrapText="1"/>
    </xf>
    <xf borderId="0" fillId="0" fontId="1" numFmtId="168" xfId="0" applyAlignment="1" applyFont="1" applyNumberFormat="1">
      <alignment horizontal="left" readingOrder="0" shrinkToFit="0" vertical="center" wrapText="1"/>
    </xf>
    <xf borderId="0" fillId="7" fontId="5" numFmtId="49" xfId="0" applyAlignment="1" applyFont="1" applyNumberFormat="1">
      <alignment horizontal="left" readingOrder="0" vertical="center"/>
    </xf>
    <xf borderId="0" fillId="2" fontId="1" numFmtId="168" xfId="0" applyAlignment="1" applyFont="1" applyNumberFormat="1">
      <alignment horizontal="left"/>
    </xf>
    <xf borderId="0" fillId="2" fontId="1" numFmtId="168" xfId="0" applyAlignment="1" applyFont="1" applyNumberFormat="1">
      <alignment horizontal="left" shrinkToFit="0" vertical="center" wrapText="1"/>
    </xf>
    <xf borderId="0" fillId="2" fontId="5" numFmtId="165" xfId="0" applyAlignment="1" applyFont="1" applyNumberFormat="1">
      <alignment horizontal="left" readingOrder="0" shrinkToFit="0" vertical="center" wrapText="1"/>
    </xf>
    <xf borderId="0" fillId="2" fontId="5" numFmtId="166" xfId="0" applyAlignment="1" applyFont="1" applyNumberFormat="1">
      <alignment horizontal="left" readingOrder="0" shrinkToFit="0" vertical="center" wrapText="1"/>
    </xf>
    <xf borderId="0" fillId="2" fontId="5" numFmtId="4" xfId="0" applyAlignment="1" applyFont="1" applyNumberFormat="1">
      <alignment horizontal="left" readingOrder="0" shrinkToFit="0" vertical="center" wrapText="1"/>
    </xf>
    <xf borderId="0" fillId="2" fontId="5" numFmtId="9" xfId="0" applyAlignment="1" applyFont="1" applyNumberFormat="1">
      <alignment horizontal="left" readingOrder="0" shrinkToFit="0" vertical="center" wrapText="1"/>
    </xf>
    <xf borderId="0" fillId="2" fontId="1" numFmtId="4" xfId="0" applyAlignment="1" applyFont="1" applyNumberFormat="1">
      <alignment horizontal="left" shrinkToFit="0" vertical="center" wrapText="1"/>
    </xf>
    <xf borderId="1" fillId="7" fontId="1" numFmtId="49" xfId="0" applyAlignment="1" applyBorder="1" applyFont="1" applyNumberFormat="1">
      <alignment horizontal="left" readingOrder="0" shrinkToFit="0" vertical="center" wrapText="1"/>
    </xf>
    <xf borderId="2" fillId="7" fontId="1" numFmtId="49" xfId="0" applyAlignment="1" applyBorder="1" applyFont="1" applyNumberFormat="1">
      <alignment horizontal="left" readingOrder="0" shrinkToFit="0" vertical="center" wrapText="1"/>
    </xf>
    <xf borderId="2" fillId="7" fontId="1" numFmtId="3" xfId="0" applyAlignment="1" applyBorder="1" applyFont="1" applyNumberFormat="1">
      <alignment horizontal="left" readingOrder="0" shrinkToFit="0" vertical="center" wrapText="1"/>
    </xf>
    <xf borderId="0" fillId="0" fontId="5" numFmtId="49" xfId="0" applyAlignment="1" applyFont="1" applyNumberFormat="1">
      <alignment horizontal="left" readingOrder="0" vertical="center"/>
    </xf>
    <xf borderId="1" fillId="0" fontId="1" numFmtId="49" xfId="0" applyAlignment="1" applyBorder="1" applyFont="1" applyNumberFormat="1">
      <alignment horizontal="left" readingOrder="0" shrinkToFit="0" vertical="center" wrapText="1"/>
    </xf>
    <xf borderId="2" fillId="0" fontId="1" numFmtId="49" xfId="0" applyAlignment="1" applyBorder="1" applyFont="1" applyNumberFormat="1">
      <alignment horizontal="left" readingOrder="0" shrinkToFit="0" vertical="center" wrapText="1"/>
    </xf>
    <xf borderId="1" fillId="5" fontId="1" numFmtId="49" xfId="0" applyAlignment="1" applyBorder="1" applyFont="1" applyNumberFormat="1">
      <alignment horizontal="left" readingOrder="0" shrinkToFit="0" vertical="center" wrapText="1"/>
    </xf>
    <xf borderId="2" fillId="5" fontId="1" numFmtId="3" xfId="0" applyAlignment="1" applyBorder="1" applyFont="1" applyNumberFormat="1">
      <alignment horizontal="left" readingOrder="0" shrinkToFit="0" vertical="center" wrapText="1"/>
    </xf>
    <xf borderId="0" fillId="0" fontId="45" numFmtId="168" xfId="0" applyAlignment="1" applyFont="1" applyNumberFormat="1">
      <alignment horizontal="left" shrinkToFit="0" vertical="center" wrapText="1"/>
    </xf>
    <xf borderId="0" fillId="0" fontId="1" numFmtId="49" xfId="0" applyAlignment="1" applyFont="1" applyNumberFormat="1">
      <alignment horizontal="left" readingOrder="0" shrinkToFit="0" vertical="center" wrapText="1"/>
    </xf>
    <xf borderId="1" fillId="0" fontId="1" numFmtId="49" xfId="0" applyAlignment="1" applyBorder="1" applyFont="1" applyNumberFormat="1">
      <alignment horizontal="left" readingOrder="0" shrinkToFit="0" vertical="center" wrapText="1"/>
    </xf>
    <xf borderId="2" fillId="0" fontId="1" numFmtId="49" xfId="0" applyAlignment="1" applyBorder="1" applyFont="1" applyNumberFormat="1">
      <alignment horizontal="left" readingOrder="0" shrinkToFit="0" vertical="center" wrapText="1"/>
    </xf>
    <xf borderId="0" fillId="0" fontId="5" numFmtId="166" xfId="0" applyAlignment="1" applyFont="1" applyNumberFormat="1">
      <alignment horizontal="left" readingOrder="0" shrinkToFit="0" vertical="center" wrapText="1"/>
    </xf>
    <xf borderId="0" fillId="0" fontId="46" numFmtId="168" xfId="0" applyAlignment="1" applyFont="1" applyNumberFormat="1">
      <alignment horizontal="left" readingOrder="0" shrinkToFit="0" vertical="center" wrapText="1"/>
    </xf>
    <xf borderId="0" fillId="0" fontId="1" numFmtId="49" xfId="0" applyAlignment="1" applyFont="1" applyNumberFormat="1">
      <alignment horizontal="left" shrinkToFit="0" vertical="center" wrapText="1"/>
    </xf>
    <xf borderId="0" fillId="7" fontId="5" numFmtId="0" xfId="0" applyAlignment="1" applyFont="1">
      <alignment horizontal="left" readingOrder="0" shrinkToFit="0" vertical="center" wrapText="1"/>
    </xf>
    <xf borderId="0" fillId="7" fontId="5" numFmtId="165" xfId="0" applyAlignment="1" applyFont="1" applyNumberFormat="1">
      <alignment horizontal="left" shrinkToFit="0" wrapText="0"/>
    </xf>
    <xf borderId="0" fillId="7" fontId="47" numFmtId="165" xfId="0" applyAlignment="1" applyFont="1" applyNumberFormat="1">
      <alignment horizontal="left"/>
    </xf>
    <xf borderId="0" fillId="0" fontId="10" numFmtId="168" xfId="0" applyAlignment="1" applyFont="1" applyNumberFormat="1">
      <alignment horizontal="left" readingOrder="0" vertical="center"/>
    </xf>
    <xf borderId="0" fillId="2" fontId="48" numFmtId="165" xfId="0" applyAlignment="1" applyFont="1" applyNumberFormat="1">
      <alignment horizontal="left" readingOrder="0"/>
    </xf>
    <xf borderId="0" fillId="7" fontId="49" numFmtId="165" xfId="0" applyAlignment="1" applyFont="1" applyNumberFormat="1">
      <alignment horizontal="left" readingOrder="0"/>
    </xf>
    <xf borderId="0" fillId="7" fontId="1" numFmtId="168" xfId="0" applyAlignment="1" applyFont="1" applyNumberFormat="1">
      <alignment horizontal="left" shrinkToFit="0" vertical="center" wrapText="1"/>
    </xf>
    <xf borderId="0" fillId="4" fontId="1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horizontal="left" readingOrder="0" shrinkToFit="0" vertical="center" wrapText="0"/>
    </xf>
    <xf borderId="0" fillId="0" fontId="1" numFmtId="0" xfId="0" applyAlignment="1" applyFont="1">
      <alignment horizontal="center" readingOrder="0" shrinkToFit="0" vertical="center" wrapText="0"/>
    </xf>
    <xf borderId="0" fillId="0" fontId="1" numFmtId="165" xfId="0" applyAlignment="1" applyFont="1" applyNumberFormat="1">
      <alignment horizontal="center" readingOrder="0" shrinkToFit="0" wrapText="0"/>
    </xf>
    <xf borderId="0" fillId="0" fontId="50" numFmtId="0" xfId="0" applyAlignment="1" applyFont="1">
      <alignment horizontal="left" readingOrder="0" shrinkToFit="0" vertical="center" wrapText="1"/>
    </xf>
    <xf borderId="0" fillId="0" fontId="1" numFmtId="49" xfId="0" applyAlignment="1" applyFont="1" applyNumberFormat="1">
      <alignment horizontal="center" readingOrder="0" shrinkToFit="0" vertical="center" wrapText="1"/>
    </xf>
    <xf borderId="1" fillId="0" fontId="1" numFmtId="49" xfId="0" applyAlignment="1" applyBorder="1" applyFont="1" applyNumberFormat="1">
      <alignment horizontal="center" readingOrder="0" shrinkToFit="0" vertical="center" wrapText="1"/>
    </xf>
    <xf borderId="2" fillId="0" fontId="1" numFmtId="49" xfId="0" applyAlignment="1" applyBorder="1" applyFont="1" applyNumberFormat="1">
      <alignment horizontal="center" readingOrder="0" shrinkToFit="0" vertical="center" wrapText="1"/>
    </xf>
    <xf borderId="1" fillId="5" fontId="1" numFmtId="49" xfId="0" applyAlignment="1" applyBorder="1" applyFont="1" applyNumberFormat="1">
      <alignment horizontal="center" readingOrder="0" shrinkToFit="0" vertical="center" wrapText="1"/>
    </xf>
    <xf borderId="2" fillId="5" fontId="1" numFmtId="3" xfId="0" applyAlignment="1" applyBorder="1" applyFont="1" applyNumberFormat="1">
      <alignment horizontal="center" readingOrder="0" shrinkToFit="0" vertical="center" wrapText="1"/>
    </xf>
    <xf borderId="0" fillId="7" fontId="1" numFmtId="0" xfId="0" applyAlignment="1" applyFont="1">
      <alignment horizontal="left" readingOrder="0" shrinkToFit="0" vertical="center" wrapText="0"/>
    </xf>
    <xf borderId="0" fillId="7" fontId="1" numFmtId="0" xfId="0" applyAlignment="1" applyFont="1">
      <alignment horizontal="center" readingOrder="0" shrinkToFit="0" vertical="center" wrapText="0"/>
    </xf>
    <xf borderId="0" fillId="7" fontId="1" numFmtId="165" xfId="0" applyAlignment="1" applyFont="1" applyNumberFormat="1">
      <alignment horizontal="center" readingOrder="0" shrinkToFit="0" wrapText="0"/>
    </xf>
    <xf borderId="0" fillId="7" fontId="51" numFmtId="0" xfId="0" applyAlignment="1" applyFont="1">
      <alignment horizontal="left" readingOrder="0" shrinkToFit="0" vertical="center" wrapText="1"/>
    </xf>
    <xf borderId="0" fillId="7" fontId="1" numFmtId="165" xfId="0" applyAlignment="1" applyFont="1" applyNumberFormat="1">
      <alignment horizontal="center" readingOrder="0" shrinkToFit="0" vertical="center" wrapText="1"/>
    </xf>
    <xf borderId="0" fillId="7" fontId="1" numFmtId="49" xfId="0" applyAlignment="1" applyFont="1" applyNumberFormat="1">
      <alignment horizontal="center" readingOrder="0" shrinkToFit="0" vertical="center" wrapText="1"/>
    </xf>
    <xf borderId="1" fillId="7" fontId="1" numFmtId="49" xfId="0" applyAlignment="1" applyBorder="1" applyFont="1" applyNumberFormat="1">
      <alignment horizontal="center" readingOrder="0" shrinkToFit="0" vertical="center" wrapText="1"/>
    </xf>
    <xf borderId="2" fillId="7" fontId="1" numFmtId="49" xfId="0" applyAlignment="1" applyBorder="1" applyFont="1" applyNumberFormat="1">
      <alignment horizontal="center" readingOrder="0" shrinkToFit="0" vertical="center" wrapText="1"/>
    </xf>
    <xf borderId="2" fillId="7" fontId="1" numFmtId="3" xfId="0" applyAlignment="1" applyBorder="1" applyFont="1" applyNumberFormat="1">
      <alignment horizontal="center" readingOrder="0" shrinkToFit="0" vertical="center" wrapText="1"/>
    </xf>
    <xf borderId="0" fillId="7" fontId="1" numFmtId="166" xfId="0" applyAlignment="1" applyFont="1" applyNumberFormat="1">
      <alignment horizontal="center" shrinkToFit="0" vertical="center" wrapText="1"/>
    </xf>
    <xf borderId="0" fillId="10" fontId="1" numFmtId="0" xfId="0" applyAlignment="1" applyFont="1">
      <alignment readingOrder="0" vertical="center"/>
    </xf>
    <xf borderId="0" fillId="10" fontId="1" numFmtId="0" xfId="0" applyAlignment="1" applyFont="1">
      <alignment readingOrder="0" shrinkToFit="0" vertical="center" wrapText="1"/>
    </xf>
    <xf borderId="0" fillId="10" fontId="1" numFmtId="0" xfId="0" applyAlignment="1" applyFont="1">
      <alignment horizontal="center" shrinkToFit="0" vertical="center" wrapText="1"/>
    </xf>
    <xf borderId="0" fillId="10" fontId="1" numFmtId="165" xfId="0" applyAlignment="1" applyFont="1" applyNumberFormat="1">
      <alignment horizontal="center" readingOrder="0"/>
    </xf>
    <xf borderId="0" fillId="10" fontId="52" numFmtId="165" xfId="0" applyAlignment="1" applyFont="1" applyNumberFormat="1">
      <alignment horizontal="left" shrinkToFit="0" vertical="center" wrapText="1"/>
    </xf>
    <xf borderId="0" fillId="10" fontId="53" numFmtId="165" xfId="0" applyAlignment="1" applyFont="1" applyNumberFormat="1">
      <alignment horizontal="center" shrinkToFit="0" vertical="center" wrapText="1"/>
    </xf>
    <xf borderId="0" fillId="10" fontId="1" numFmtId="49" xfId="0" applyAlignment="1" applyFont="1" applyNumberFormat="1">
      <alignment horizontal="center" shrinkToFit="0" vertical="center" wrapText="1"/>
    </xf>
    <xf borderId="1" fillId="10" fontId="1" numFmtId="49" xfId="0" applyAlignment="1" applyBorder="1" applyFont="1" applyNumberFormat="1">
      <alignment horizontal="center" shrinkToFit="0" vertical="center" wrapText="1"/>
    </xf>
    <xf borderId="2" fillId="10" fontId="1" numFmtId="49" xfId="0" applyAlignment="1" applyBorder="1" applyFont="1" applyNumberFormat="1">
      <alignment horizontal="center" shrinkToFit="0" vertical="center" wrapText="1"/>
    </xf>
    <xf borderId="2" fillId="10" fontId="1" numFmtId="3" xfId="0" applyAlignment="1" applyBorder="1" applyFont="1" applyNumberFormat="1">
      <alignment horizontal="center" shrinkToFit="0" vertical="center" wrapText="1"/>
    </xf>
    <xf borderId="0" fillId="10" fontId="1" numFmtId="167" xfId="0" applyAlignment="1" applyFont="1" applyNumberFormat="1">
      <alignment horizontal="center" readingOrder="0" shrinkToFit="0" vertical="center" wrapText="1"/>
    </xf>
    <xf borderId="0" fillId="10" fontId="1" numFmtId="168" xfId="0" applyAlignment="1" applyFont="1" applyNumberFormat="1">
      <alignment horizontal="center" readingOrder="0"/>
    </xf>
    <xf borderId="0" fillId="10" fontId="1" numFmtId="166" xfId="0" applyAlignment="1" applyFont="1" applyNumberFormat="1">
      <alignment horizontal="center" readingOrder="0"/>
    </xf>
    <xf borderId="0" fillId="10" fontId="1" numFmtId="168" xfId="0" applyAlignment="1" applyFont="1" applyNumberFormat="1">
      <alignment horizontal="center" shrinkToFit="0" vertical="center" wrapText="1"/>
    </xf>
    <xf borderId="0" fillId="10" fontId="1" numFmtId="166" xfId="0" applyAlignment="1" applyFont="1" applyNumberFormat="1">
      <alignment horizontal="center" shrinkToFit="0" vertical="center" wrapText="1"/>
    </xf>
    <xf borderId="0" fillId="7" fontId="1" numFmtId="0" xfId="0" applyAlignment="1" applyFont="1">
      <alignment vertical="center"/>
    </xf>
    <xf borderId="0" fillId="7" fontId="1" numFmtId="0" xfId="0" applyAlignment="1" applyFont="1">
      <alignment readingOrder="0" shrinkToFit="0" vertical="center" wrapText="1"/>
    </xf>
    <xf borderId="0" fillId="7" fontId="1" numFmtId="0" xfId="0" applyAlignment="1" applyFont="1">
      <alignment horizontal="center" shrinkToFit="0" vertical="center" wrapText="1"/>
    </xf>
    <xf borderId="0" fillId="7" fontId="1" numFmtId="165" xfId="0" applyAlignment="1" applyFont="1" applyNumberFormat="1">
      <alignment horizontal="center" readingOrder="0"/>
    </xf>
    <xf borderId="0" fillId="7" fontId="1" numFmtId="165" xfId="0" applyAlignment="1" applyFont="1" applyNumberFormat="1">
      <alignment horizontal="left" shrinkToFit="0" vertical="center" wrapText="1"/>
    </xf>
    <xf borderId="0" fillId="7" fontId="54" numFmtId="165" xfId="0" applyAlignment="1" applyFont="1" applyNumberFormat="1">
      <alignment horizontal="left" shrinkToFit="0" vertical="center" wrapText="1"/>
    </xf>
    <xf borderId="0" fillId="7" fontId="55" numFmtId="165" xfId="0" applyAlignment="1" applyFont="1" applyNumberFormat="1">
      <alignment horizontal="center" shrinkToFit="0" vertical="center" wrapText="1"/>
    </xf>
    <xf borderId="0" fillId="7" fontId="1" numFmtId="49" xfId="0" applyAlignment="1" applyFont="1" applyNumberFormat="1">
      <alignment horizontal="center" shrinkToFit="0" vertical="center" wrapText="1"/>
    </xf>
    <xf borderId="1" fillId="7" fontId="1" numFmtId="49" xfId="0" applyAlignment="1" applyBorder="1" applyFont="1" applyNumberFormat="1">
      <alignment horizontal="center" shrinkToFit="0" vertical="center" wrapText="1"/>
    </xf>
    <xf borderId="2" fillId="7" fontId="1" numFmtId="49" xfId="0" applyAlignment="1" applyBorder="1" applyFont="1" applyNumberFormat="1">
      <alignment horizontal="center" shrinkToFit="0" vertical="center" wrapText="1"/>
    </xf>
    <xf borderId="0" fillId="7" fontId="1" numFmtId="168" xfId="0" applyAlignment="1" applyFont="1" applyNumberFormat="1">
      <alignment horizontal="center" readingOrder="0"/>
    </xf>
    <xf borderId="0" fillId="7" fontId="1" numFmtId="168" xfId="0" applyAlignment="1" applyFont="1" applyNumberFormat="1">
      <alignment horizontal="center" readingOrder="0" shrinkToFit="0" vertical="center" wrapText="1"/>
    </xf>
    <xf borderId="0" fillId="7" fontId="1" numFmtId="165" xfId="0" applyAlignment="1" applyFont="1" applyNumberFormat="1">
      <alignment horizontal="center"/>
    </xf>
    <xf borderId="0" fillId="7" fontId="56" numFmtId="165" xfId="0" applyAlignment="1" applyFont="1" applyNumberFormat="1">
      <alignment horizontal="center" shrinkToFit="0" vertical="center" wrapText="1"/>
    </xf>
    <xf borderId="0" fillId="7" fontId="1" numFmtId="168" xfId="0" applyAlignment="1" applyFont="1" applyNumberFormat="1">
      <alignment horizontal="center" shrinkToFit="0" vertical="center" wrapText="1"/>
    </xf>
    <xf borderId="0" fillId="0" fontId="1" numFmtId="0" xfId="0" applyAlignment="1" applyFont="1">
      <alignment vertical="center"/>
    </xf>
    <xf borderId="0" fillId="0" fontId="1" numFmtId="0" xfId="0" applyAlignment="1" applyFont="1">
      <alignment readingOrder="0" shrinkToFit="0" vertical="center" wrapText="1"/>
    </xf>
    <xf borderId="0" fillId="0" fontId="57" numFmtId="165" xfId="0" applyAlignment="1" applyFont="1" applyNumberFormat="1">
      <alignment horizontal="center" shrinkToFit="0" vertical="center" wrapText="1"/>
    </xf>
    <xf borderId="0" fillId="2" fontId="1" numFmtId="165" xfId="0" applyAlignment="1" applyFont="1" applyNumberFormat="1">
      <alignment horizontal="center" readingOrder="0"/>
    </xf>
    <xf borderId="0" fillId="10" fontId="1" numFmtId="0" xfId="0" applyAlignment="1" applyFont="1">
      <alignment vertical="center"/>
    </xf>
    <xf borderId="0" fillId="2" fontId="58" numFmtId="165" xfId="0" applyAlignment="1" applyFont="1" applyNumberFormat="1">
      <alignment horizontal="left" readingOrder="0"/>
    </xf>
    <xf borderId="0" fillId="0" fontId="59" numFmtId="165" xfId="0" applyAlignment="1" applyFont="1" applyNumberFormat="1">
      <alignment horizontal="left" readingOrder="0" shrinkToFit="0" vertical="center" wrapText="1"/>
    </xf>
    <xf borderId="0" fillId="0" fontId="60" numFmtId="165" xfId="0" applyAlignment="1" applyFont="1" applyNumberFormat="1">
      <alignment horizontal="center" shrinkToFit="0" vertical="center" wrapText="1"/>
    </xf>
    <xf borderId="0" fillId="10" fontId="1" numFmtId="168" xfId="0" applyAlignment="1" applyFont="1" applyNumberFormat="1">
      <alignment horizontal="center"/>
    </xf>
    <xf borderId="0" fillId="2" fontId="1" numFmtId="165" xfId="0" applyAlignment="1" applyFont="1" applyNumberFormat="1">
      <alignment horizontal="center"/>
    </xf>
    <xf borderId="0" fillId="2" fontId="5" numFmtId="165" xfId="0" applyAlignment="1" applyFont="1" applyNumberFormat="1">
      <alignment horizontal="left" readingOrder="0"/>
    </xf>
    <xf borderId="0" fillId="0" fontId="5" numFmtId="165" xfId="0" applyAlignment="1" applyFont="1" applyNumberFormat="1">
      <alignment horizontal="left" shrinkToFit="0" vertical="center" wrapText="1"/>
    </xf>
    <xf borderId="0" fillId="7" fontId="1" numFmtId="168" xfId="0" applyAlignment="1" applyFont="1" applyNumberFormat="1">
      <alignment horizontal="center"/>
    </xf>
    <xf borderId="0" fillId="4" fontId="1" numFmtId="0" xfId="0" applyAlignment="1" applyFont="1">
      <alignment shrinkToFit="0" vertical="center" wrapText="0"/>
    </xf>
    <xf borderId="0" fillId="4" fontId="2" numFmtId="165" xfId="0" applyAlignment="1" applyFont="1" applyNumberFormat="1">
      <alignment shrinkToFit="0" vertical="center" wrapText="1"/>
    </xf>
    <xf borderId="0" fillId="4" fontId="2" numFmtId="49" xfId="0" applyAlignment="1" applyFont="1" applyNumberFormat="1">
      <alignment horizontal="center" shrinkToFit="0" vertical="center" wrapText="1"/>
    </xf>
    <xf borderId="1" fillId="4" fontId="2" numFmtId="49" xfId="0" applyAlignment="1" applyBorder="1" applyFont="1" applyNumberFormat="1">
      <alignment horizontal="center" shrinkToFit="0" vertical="center" wrapText="1"/>
    </xf>
    <xf borderId="2" fillId="4" fontId="2" numFmtId="49" xfId="0" applyAlignment="1" applyBorder="1" applyFont="1" applyNumberFormat="1">
      <alignment horizontal="center" shrinkToFit="0" vertical="center" wrapText="1"/>
    </xf>
    <xf borderId="1" fillId="5" fontId="2" numFmtId="49" xfId="0" applyAlignment="1" applyBorder="1" applyFont="1" applyNumberFormat="1">
      <alignment horizontal="center" shrinkToFit="0" vertical="center" wrapText="1"/>
    </xf>
    <xf borderId="2" fillId="5" fontId="2" numFmtId="3" xfId="0" applyAlignment="1" applyBorder="1" applyFont="1" applyNumberFormat="1">
      <alignment horizontal="center" shrinkToFit="0" vertical="center" wrapText="1"/>
    </xf>
    <xf borderId="0" fillId="4" fontId="2" numFmtId="166" xfId="0" applyAlignment="1" applyFont="1" applyNumberFormat="1">
      <alignment horizontal="center" shrinkToFit="0" vertical="center" wrapText="1"/>
    </xf>
    <xf borderId="0" fillId="10" fontId="1" numFmtId="0" xfId="0" applyAlignment="1" applyFont="1">
      <alignment horizontal="center" readingOrder="0" shrinkToFit="0" vertical="center" wrapText="1"/>
    </xf>
    <xf borderId="0" fillId="10" fontId="61" numFmtId="165" xfId="0" applyAlignment="1" applyFont="1" applyNumberFormat="1">
      <alignment horizontal="left" readingOrder="0" shrinkToFit="0" vertical="center" wrapText="1"/>
    </xf>
    <xf borderId="0" fillId="10" fontId="1" numFmtId="49" xfId="0" applyAlignment="1" applyFont="1" applyNumberFormat="1">
      <alignment horizontal="center" readingOrder="0" shrinkToFit="0" vertical="center" wrapText="1"/>
    </xf>
    <xf borderId="0" fillId="10" fontId="1" numFmtId="167" xfId="0" applyAlignment="1" applyFont="1" applyNumberFormat="1">
      <alignment horizontal="left" readingOrder="0" shrinkToFit="0" vertical="center" wrapText="1"/>
    </xf>
    <xf borderId="0" fillId="4" fontId="2" numFmtId="166" xfId="0" applyAlignment="1" applyFont="1" applyNumberFormat="1">
      <alignment horizontal="center" readingOrder="0" shrinkToFit="0" vertical="center" wrapText="1"/>
    </xf>
    <xf borderId="0" fillId="4" fontId="2" numFmtId="165" xfId="0" applyAlignment="1" applyFont="1" applyNumberFormat="1">
      <alignment horizontal="center" readingOrder="0" shrinkToFit="0" vertical="center" wrapText="1"/>
    </xf>
    <xf borderId="0" fillId="4" fontId="4" numFmtId="9" xfId="0" applyAlignment="1" applyFont="1" applyNumberFormat="1">
      <alignment horizontal="center" readingOrder="0" shrinkToFit="0" vertical="center" wrapText="1"/>
    </xf>
    <xf borderId="0" fillId="0" fontId="1" numFmtId="0" xfId="0" applyAlignment="1" applyFont="1">
      <alignment readingOrder="0" shrinkToFit="0" vertical="center" wrapText="0"/>
    </xf>
    <xf borderId="0" fillId="0" fontId="1" numFmtId="49" xfId="0" applyAlignment="1" applyFont="1" applyNumberFormat="1">
      <alignment horizontal="center" readingOrder="0" vertical="center"/>
    </xf>
    <xf borderId="1" fillId="0" fontId="1" numFmtId="49" xfId="0" applyAlignment="1" applyBorder="1" applyFont="1" applyNumberFormat="1">
      <alignment horizontal="center" readingOrder="0" vertical="center"/>
    </xf>
    <xf borderId="2" fillId="0" fontId="1" numFmtId="49" xfId="0" applyAlignment="1" applyBorder="1" applyFont="1" applyNumberFormat="1">
      <alignment horizontal="center" readingOrder="0" vertical="center"/>
    </xf>
    <xf borderId="1" fillId="5" fontId="1" numFmtId="49" xfId="0" applyAlignment="1" applyBorder="1" applyFont="1" applyNumberFormat="1">
      <alignment horizontal="center" readingOrder="0" vertical="center"/>
    </xf>
    <xf borderId="2" fillId="5" fontId="1" numFmtId="3" xfId="0" applyAlignment="1" applyBorder="1" applyFont="1" applyNumberFormat="1">
      <alignment horizontal="center" readingOrder="0" vertical="center"/>
    </xf>
    <xf borderId="0" fillId="0" fontId="1" numFmtId="166" xfId="0" applyAlignment="1" applyFont="1" applyNumberFormat="1">
      <alignment horizontal="right" shrinkToFit="0" vertical="center" wrapText="1"/>
    </xf>
    <xf borderId="0" fillId="0" fontId="62" numFmtId="165" xfId="0" applyAlignment="1" applyFont="1" applyNumberFormat="1">
      <alignment horizontal="left" readingOrder="0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4" fontId="4" numFmtId="10" xfId="0" applyAlignment="1" applyFont="1" applyNumberFormat="1">
      <alignment horizontal="center" shrinkToFit="0" vertical="center" wrapText="1"/>
    </xf>
    <xf borderId="0" fillId="0" fontId="1" numFmtId="166" xfId="0" applyAlignment="1" applyFont="1" applyNumberFormat="1">
      <alignment horizontal="center" readingOrder="0" shrinkToFit="0" wrapText="0"/>
    </xf>
    <xf borderId="0" fillId="4" fontId="1" numFmtId="4" xfId="0" applyAlignment="1" applyFont="1" applyNumberFormat="1">
      <alignment horizontal="center" readingOrder="0" shrinkToFit="0" vertical="center" wrapText="1"/>
    </xf>
    <xf borderId="0" fillId="0" fontId="4" numFmtId="10" xfId="0" applyAlignment="1" applyFont="1" applyNumberFormat="1">
      <alignment shrinkToFit="0" vertical="center" wrapText="1"/>
    </xf>
    <xf borderId="0" fillId="0" fontId="1" numFmtId="0" xfId="0" applyAlignment="1" applyFont="1">
      <alignment shrinkToFit="0" vertical="center" wrapText="1"/>
    </xf>
    <xf borderId="0" fillId="0" fontId="4" numFmtId="10" xfId="0" applyAlignment="1" applyFont="1" applyNumberFormat="1">
      <alignment readingOrder="0" shrinkToFit="0" vertical="center" wrapText="1"/>
    </xf>
    <xf borderId="0" fillId="3" fontId="1" numFmtId="0" xfId="0" applyAlignment="1" applyFont="1">
      <alignment horizontal="center" shrinkToFit="0" vertical="center" wrapText="0"/>
    </xf>
    <xf borderId="0" fillId="3" fontId="1" numFmtId="0" xfId="0" applyAlignment="1" applyFont="1">
      <alignment horizontal="center" readingOrder="0" shrinkToFit="0" vertical="center" wrapText="1"/>
    </xf>
    <xf borderId="0" fillId="3" fontId="1" numFmtId="165" xfId="0" applyAlignment="1" applyFont="1" applyNumberFormat="1">
      <alignment horizontal="right" shrinkToFit="0" vertical="center" wrapText="1"/>
    </xf>
    <xf borderId="0" fillId="3" fontId="1" numFmtId="165" xfId="0" applyAlignment="1" applyFont="1" applyNumberFormat="1">
      <alignment horizontal="center" readingOrder="0" shrinkToFit="0" vertical="center" wrapText="1"/>
    </xf>
    <xf borderId="0" fillId="3" fontId="1" numFmtId="165" xfId="0" applyAlignment="1" applyFont="1" applyNumberFormat="1">
      <alignment horizontal="center" shrinkToFit="0" vertical="center" wrapText="1"/>
    </xf>
    <xf borderId="0" fillId="3" fontId="1" numFmtId="0" xfId="0" applyAlignment="1" applyFont="1">
      <alignment horizontal="center" shrinkToFit="0" vertical="center" wrapText="1"/>
    </xf>
    <xf borderId="0" fillId="3" fontId="1" numFmtId="4" xfId="0" applyAlignment="1" applyFont="1" applyNumberFormat="1">
      <alignment horizontal="center" shrinkToFit="0" vertical="center" wrapText="1"/>
    </xf>
    <xf borderId="1" fillId="3" fontId="1" numFmtId="4" xfId="0" applyAlignment="1" applyBorder="1" applyFont="1" applyNumberFormat="1">
      <alignment horizontal="center" shrinkToFit="0" vertical="center" wrapText="1"/>
    </xf>
    <xf borderId="2" fillId="3" fontId="1" numFmtId="4" xfId="0" applyAlignment="1" applyBorder="1" applyFont="1" applyNumberFormat="1">
      <alignment horizontal="center" shrinkToFit="0" vertical="center" wrapText="1"/>
    </xf>
    <xf borderId="2" fillId="3" fontId="1" numFmtId="3" xfId="0" applyAlignment="1" applyBorder="1" applyFont="1" applyNumberFormat="1">
      <alignment horizontal="center" shrinkToFit="0" vertical="center" wrapText="1"/>
    </xf>
    <xf borderId="0" fillId="3" fontId="1" numFmtId="167" xfId="0" applyAlignment="1" applyFont="1" applyNumberFormat="1">
      <alignment horizontal="left" readingOrder="0" shrinkToFit="0" vertical="center" wrapText="1"/>
    </xf>
    <xf borderId="0" fillId="3" fontId="1" numFmtId="166" xfId="0" applyAlignment="1" applyFont="1" applyNumberFormat="1">
      <alignment horizontal="center" readingOrder="0" shrinkToFit="0" vertical="center" wrapText="1"/>
    </xf>
    <xf borderId="0" fillId="3" fontId="1" numFmtId="167" xfId="0" applyAlignment="1" applyFont="1" applyNumberFormat="1">
      <alignment horizontal="center" readingOrder="0" shrinkToFit="0" vertical="center" wrapText="1"/>
    </xf>
    <xf borderId="0" fillId="3" fontId="1" numFmtId="4" xfId="0" applyAlignment="1" applyFont="1" applyNumberFormat="1">
      <alignment horizontal="center" readingOrder="0" shrinkToFit="0" vertical="center" wrapText="1"/>
    </xf>
    <xf borderId="0" fillId="3" fontId="8" numFmtId="10" xfId="0" applyAlignment="1" applyFont="1" applyNumberFormat="1">
      <alignment horizontal="center" shrinkToFit="0" vertical="center" wrapText="1"/>
    </xf>
    <xf borderId="0" fillId="3" fontId="2" numFmtId="0" xfId="0" applyAlignment="1" applyFont="1">
      <alignment horizontal="center" shrinkToFit="0" vertical="center" wrapText="0"/>
    </xf>
    <xf borderId="0" fillId="3" fontId="2" numFmtId="0" xfId="0" applyAlignment="1" applyFont="1">
      <alignment horizontal="center" readingOrder="0" shrinkToFit="0" vertical="center" wrapText="1"/>
    </xf>
    <xf borderId="0" fillId="3" fontId="2" numFmtId="165" xfId="0" applyAlignment="1" applyFont="1" applyNumberFormat="1">
      <alignment horizontal="right" readingOrder="0" shrinkToFit="0" vertical="center" wrapText="1"/>
    </xf>
    <xf borderId="0" fillId="3" fontId="2" numFmtId="165" xfId="0" applyAlignment="1" applyFont="1" applyNumberFormat="1">
      <alignment horizontal="center" readingOrder="0" shrinkToFit="0" vertical="center" wrapText="1"/>
    </xf>
    <xf borderId="0" fillId="3" fontId="2" numFmtId="165" xfId="0" applyAlignment="1" applyFont="1" applyNumberFormat="1">
      <alignment horizontal="center" shrinkToFit="0" vertical="center" wrapText="1"/>
    </xf>
    <xf borderId="0" fillId="3" fontId="2" numFmtId="0" xfId="0" applyAlignment="1" applyFont="1">
      <alignment horizontal="center" shrinkToFit="0" vertical="center" wrapText="1"/>
    </xf>
    <xf borderId="0" fillId="3" fontId="2" numFmtId="4" xfId="0" applyAlignment="1" applyFont="1" applyNumberFormat="1">
      <alignment horizontal="center" shrinkToFit="0" vertical="center" wrapText="1"/>
    </xf>
    <xf borderId="0" fillId="3" fontId="2" numFmtId="3" xfId="0" applyAlignment="1" applyFont="1" applyNumberFormat="1">
      <alignment horizontal="center" shrinkToFit="0" vertical="center" wrapText="1"/>
    </xf>
    <xf borderId="0" fillId="3" fontId="2" numFmtId="167" xfId="0" applyAlignment="1" applyFont="1" applyNumberFormat="1">
      <alignment horizontal="left" readingOrder="0" shrinkToFit="0" vertical="center" wrapText="1"/>
    </xf>
    <xf borderId="0" fillId="3" fontId="2" numFmtId="166" xfId="0" applyAlignment="1" applyFont="1" applyNumberFormat="1">
      <alignment horizontal="center" readingOrder="0" shrinkToFit="0" vertical="center" wrapText="1"/>
    </xf>
    <xf borderId="0" fillId="3" fontId="2" numFmtId="167" xfId="0" applyAlignment="1" applyFont="1" applyNumberFormat="1">
      <alignment horizontal="center" readingOrder="0" shrinkToFit="0" vertical="center" wrapText="1"/>
    </xf>
    <xf borderId="0" fillId="3" fontId="2" numFmtId="4" xfId="0" applyAlignment="1" applyFont="1" applyNumberFormat="1">
      <alignment horizontal="center" readingOrder="0" shrinkToFit="0" vertical="center" wrapText="1"/>
    </xf>
    <xf borderId="3" fillId="0" fontId="1" numFmtId="0" xfId="0" applyAlignment="1" applyBorder="1" applyFont="1">
      <alignment shrinkToFit="0" vertical="center" wrapText="0"/>
    </xf>
    <xf borderId="3" fillId="0" fontId="63" numFmtId="165" xfId="0" applyAlignment="1" applyBorder="1" applyFont="1" applyNumberFormat="1">
      <alignment shrinkToFit="0" vertical="center" wrapText="1"/>
    </xf>
    <xf borderId="3" fillId="0" fontId="63" numFmtId="165" xfId="0" applyAlignment="1" applyBorder="1" applyFont="1" applyNumberFormat="1">
      <alignment horizontal="center" shrinkToFit="0" vertical="center" wrapText="1"/>
    </xf>
    <xf borderId="3" fillId="0" fontId="63" numFmtId="165" xfId="0" applyAlignment="1" applyBorder="1" applyFont="1" applyNumberFormat="1">
      <alignment horizontal="left" shrinkToFit="0" vertical="center" wrapText="1"/>
    </xf>
    <xf borderId="3" fillId="0" fontId="9" numFmtId="0" xfId="0" applyBorder="1" applyFont="1"/>
    <xf borderId="3" fillId="0" fontId="1" numFmtId="0" xfId="0" applyAlignment="1" applyBorder="1" applyFont="1">
      <alignment horizontal="right" shrinkToFit="0" vertical="center" wrapText="0"/>
    </xf>
    <xf borderId="4" fillId="0" fontId="1" numFmtId="165" xfId="0" applyAlignment="1" applyBorder="1" applyFont="1" applyNumberFormat="1">
      <alignment horizontal="right" readingOrder="0" shrinkToFit="0" vertical="center" wrapText="1"/>
    </xf>
    <xf borderId="3" fillId="0" fontId="1" numFmtId="165" xfId="0" applyAlignment="1" applyBorder="1" applyFont="1" applyNumberFormat="1">
      <alignment horizontal="right" readingOrder="0" shrinkToFit="0" vertical="center" wrapText="1"/>
    </xf>
    <xf borderId="3" fillId="0" fontId="2" numFmtId="165" xfId="0" applyAlignment="1" applyBorder="1" applyFont="1" applyNumberFormat="1">
      <alignment horizontal="left" readingOrder="0" shrinkToFit="0" vertical="center" wrapText="1"/>
    </xf>
    <xf borderId="5" fillId="0" fontId="2" numFmtId="165" xfId="0" applyAlignment="1" applyBorder="1" applyFont="1" applyNumberFormat="1">
      <alignment horizontal="left" readingOrder="0" shrinkToFit="0" vertical="center" wrapText="1"/>
    </xf>
    <xf borderId="3" fillId="0" fontId="63" numFmtId="165" xfId="0" applyAlignment="1" applyBorder="1" applyFont="1" applyNumberFormat="1">
      <alignment horizontal="right" shrinkToFit="0" vertical="center" wrapText="1"/>
    </xf>
    <xf borderId="4" fillId="0" fontId="63" numFmtId="165" xfId="0" applyAlignment="1" applyBorder="1" applyFont="1" applyNumberFormat="1">
      <alignment horizontal="right" shrinkToFit="0" vertical="center" wrapText="1"/>
    </xf>
    <xf borderId="5" fillId="0" fontId="63" numFmtId="165" xfId="0" applyAlignment="1" applyBorder="1" applyFont="1" applyNumberFormat="1">
      <alignment horizontal="right" shrinkToFit="0" vertical="center" wrapText="1"/>
    </xf>
    <xf borderId="3" fillId="0" fontId="63" numFmtId="3" xfId="0" applyAlignment="1" applyBorder="1" applyFont="1" applyNumberFormat="1">
      <alignment horizontal="right" shrinkToFit="0" vertical="center" wrapText="1"/>
    </xf>
    <xf borderId="3" fillId="0" fontId="1" numFmtId="0" xfId="0" applyAlignment="1" applyBorder="1" applyFont="1">
      <alignment horizontal="right" shrinkToFit="0" vertical="center" wrapText="1"/>
    </xf>
    <xf borderId="3" fillId="0" fontId="63" numFmtId="166" xfId="0" applyAlignment="1" applyBorder="1" applyFont="1" applyNumberFormat="1">
      <alignment horizontal="right" shrinkToFit="0" vertical="center" wrapText="1"/>
    </xf>
    <xf borderId="3" fillId="0" fontId="63" numFmtId="169" xfId="0" applyAlignment="1" applyBorder="1" applyFont="1" applyNumberFormat="1">
      <alignment horizontal="right" readingOrder="0" shrinkToFit="0" vertical="center" wrapText="1"/>
    </xf>
    <xf borderId="3" fillId="0" fontId="1" numFmtId="10" xfId="0" applyAlignment="1" applyBorder="1" applyFont="1" applyNumberFormat="1">
      <alignment horizontal="center" readingOrder="0" shrinkToFit="0" vertical="center" wrapText="1"/>
    </xf>
    <xf borderId="3" fillId="0" fontId="4" numFmtId="10" xfId="0" applyAlignment="1" applyBorder="1" applyFont="1" applyNumberFormat="1">
      <alignment horizontal="right" shrinkToFit="0" vertical="center" wrapText="1"/>
    </xf>
    <xf borderId="3" fillId="0" fontId="64" numFmtId="4" xfId="0" applyAlignment="1" applyBorder="1" applyFont="1" applyNumberFormat="1">
      <alignment horizontal="center" shrinkToFit="0" vertical="center" wrapText="1"/>
    </xf>
    <xf borderId="3" fillId="0" fontId="63" numFmtId="4" xfId="0" applyAlignment="1" applyBorder="1" applyFont="1" applyNumberFormat="1">
      <alignment horizontal="right" shrinkToFit="0" vertical="center" wrapText="1"/>
    </xf>
    <xf borderId="3" fillId="0" fontId="64" numFmtId="4" xfId="0" applyAlignment="1" applyBorder="1" applyFont="1" applyNumberFormat="1">
      <alignment horizontal="right" shrinkToFit="0" vertical="center" wrapText="1"/>
    </xf>
    <xf borderId="0" fillId="0" fontId="1" numFmtId="0" xfId="0" applyAlignment="1" applyFont="1">
      <alignment horizontal="right" shrinkToFit="0" vertical="center" wrapText="0"/>
    </xf>
    <xf borderId="1" fillId="0" fontId="1" numFmtId="165" xfId="0" applyAlignment="1" applyBorder="1" applyFont="1" applyNumberFormat="1">
      <alignment horizontal="right" readingOrder="0" shrinkToFit="0" vertical="center" wrapText="1"/>
    </xf>
    <xf borderId="0" fillId="0" fontId="63" numFmtId="165" xfId="0" applyAlignment="1" applyFont="1" applyNumberFormat="1">
      <alignment horizontal="center" shrinkToFit="0" vertical="center" wrapText="1"/>
    </xf>
    <xf borderId="2" fillId="0" fontId="2" numFmtId="165" xfId="0" applyAlignment="1" applyBorder="1" applyFont="1" applyNumberFormat="1">
      <alignment horizontal="left" readingOrder="0" shrinkToFit="0" vertical="center" wrapText="1"/>
    </xf>
    <xf borderId="0" fillId="0" fontId="63" numFmtId="165" xfId="0" applyAlignment="1" applyFont="1" applyNumberFormat="1">
      <alignment horizontal="right" shrinkToFit="0" vertical="center" wrapText="1"/>
    </xf>
    <xf borderId="1" fillId="0" fontId="63" numFmtId="165" xfId="0" applyAlignment="1" applyBorder="1" applyFont="1" applyNumberFormat="1">
      <alignment horizontal="right" shrinkToFit="0" vertical="center" wrapText="1"/>
    </xf>
    <xf borderId="2" fillId="0" fontId="63" numFmtId="165" xfId="0" applyAlignment="1" applyBorder="1" applyFont="1" applyNumberFormat="1">
      <alignment horizontal="right" shrinkToFit="0" vertical="center" wrapText="1"/>
    </xf>
    <xf borderId="0" fillId="0" fontId="63" numFmtId="3" xfId="0" applyAlignment="1" applyFont="1" applyNumberFormat="1">
      <alignment horizontal="right" shrinkToFit="0" vertical="center" wrapText="1"/>
    </xf>
    <xf borderId="0" fillId="0" fontId="63" numFmtId="166" xfId="0" applyAlignment="1" applyFont="1" applyNumberFormat="1">
      <alignment horizontal="right" shrinkToFit="0" vertical="center" wrapText="1"/>
    </xf>
    <xf borderId="0" fillId="0" fontId="4" numFmtId="10" xfId="0" applyAlignment="1" applyFont="1" applyNumberFormat="1">
      <alignment horizontal="right" shrinkToFit="0" vertical="center" wrapText="1"/>
    </xf>
    <xf borderId="0" fillId="0" fontId="64" numFmtId="4" xfId="0" applyAlignment="1" applyFont="1" applyNumberFormat="1">
      <alignment horizontal="center" shrinkToFit="0" vertical="center" wrapText="1"/>
    </xf>
    <xf borderId="0" fillId="0" fontId="63" numFmtId="4" xfId="0" applyAlignment="1" applyFont="1" applyNumberFormat="1">
      <alignment horizontal="right" shrinkToFit="0" vertical="center" wrapText="1"/>
    </xf>
    <xf borderId="0" fillId="0" fontId="64" numFmtId="4" xfId="0" applyAlignment="1" applyFont="1" applyNumberFormat="1">
      <alignment horizontal="right" shrinkToFit="0" vertical="center" wrapText="1"/>
    </xf>
    <xf borderId="6" fillId="0" fontId="1" numFmtId="165" xfId="0" applyAlignment="1" applyBorder="1" applyFont="1" applyNumberFormat="1">
      <alignment horizontal="right" readingOrder="0" shrinkToFit="0" vertical="center" wrapText="1"/>
    </xf>
    <xf borderId="7" fillId="0" fontId="63" numFmtId="165" xfId="0" applyAlignment="1" applyBorder="1" applyFont="1" applyNumberFormat="1">
      <alignment horizontal="center" shrinkToFit="0" vertical="center" wrapText="1"/>
    </xf>
    <xf borderId="7" fillId="0" fontId="2" numFmtId="165" xfId="0" applyAlignment="1" applyBorder="1" applyFont="1" applyNumberFormat="1">
      <alignment horizontal="left" readingOrder="0" shrinkToFit="0" vertical="center" wrapText="1"/>
    </xf>
    <xf borderId="8" fillId="0" fontId="2" numFmtId="165" xfId="0" applyAlignment="1" applyBorder="1" applyFont="1" applyNumberFormat="1">
      <alignment horizontal="left" readingOrder="0" shrinkToFit="0" vertical="center" wrapText="1"/>
    </xf>
    <xf borderId="0" fillId="0" fontId="63" numFmtId="165" xfId="0" applyAlignment="1" applyFont="1" applyNumberFormat="1">
      <alignment horizontal="right" readingOrder="0" shrinkToFit="0" vertical="center" wrapText="1"/>
    </xf>
    <xf borderId="0" fillId="0" fontId="63" numFmtId="166" xfId="0" applyAlignment="1" applyFont="1" applyNumberFormat="1">
      <alignment horizontal="right" readingOrder="0" shrinkToFit="0" vertical="center" wrapText="1"/>
    </xf>
    <xf borderId="0" fillId="0" fontId="11" numFmtId="10" xfId="0" applyAlignment="1" applyFont="1" applyNumberFormat="1">
      <alignment horizontal="center" shrinkToFit="0" vertical="center" wrapText="1"/>
    </xf>
    <xf borderId="0" fillId="0" fontId="65" numFmtId="10" xfId="0" applyAlignment="1" applyFont="1" applyNumberFormat="1">
      <alignment horizontal="right" shrinkToFit="0" vertical="center" wrapText="1"/>
    </xf>
    <xf borderId="0" fillId="0" fontId="63" numFmtId="165" xfId="0" applyAlignment="1" applyFont="1" applyNumberFormat="1">
      <alignment horizontal="left" shrinkToFit="0" vertical="center" wrapText="1"/>
    </xf>
    <xf borderId="0" fillId="0" fontId="63" numFmtId="4" xfId="0" applyAlignment="1" applyFont="1" applyNumberFormat="1">
      <alignment horizontal="center" shrinkToFit="0" vertical="center" wrapText="1"/>
    </xf>
    <xf borderId="1" fillId="0" fontId="63" numFmtId="4" xfId="0" applyAlignment="1" applyBorder="1" applyFont="1" applyNumberFormat="1">
      <alignment horizontal="center" shrinkToFit="0" vertical="center" wrapText="1"/>
    </xf>
    <xf borderId="2" fillId="0" fontId="63" numFmtId="4" xfId="0" applyAlignment="1" applyBorder="1" applyFont="1" applyNumberFormat="1">
      <alignment horizontal="center" shrinkToFit="0" vertical="center" wrapText="1"/>
    </xf>
    <xf borderId="0" fillId="0" fontId="63" numFmtId="3" xfId="0" applyAlignment="1" applyFont="1" applyNumberFormat="1">
      <alignment horizontal="center" shrinkToFit="0" vertical="center" wrapText="1"/>
    </xf>
    <xf borderId="0" fillId="0" fontId="63" numFmtId="166" xfId="0" applyAlignment="1" applyFont="1" applyNumberFormat="1">
      <alignment horizontal="center" shrinkToFit="0" vertical="center" wrapText="1"/>
    </xf>
    <xf borderId="0" fillId="0" fontId="65" numFmtId="10" xfId="0" applyAlignment="1" applyFont="1" applyNumberFormat="1">
      <alignment horizontal="center" shrinkToFit="0" vertical="center" wrapText="1"/>
    </xf>
    <xf borderId="0" fillId="0" fontId="66" numFmtId="165" xfId="0" applyAlignment="1" applyFont="1" applyNumberFormat="1">
      <alignment horizontal="left" readingOrder="0" shrinkToFit="0" vertical="center" wrapText="1"/>
    </xf>
    <xf borderId="0" fillId="0" fontId="67" numFmtId="165" xfId="0" applyAlignment="1" applyFont="1" applyNumberFormat="1">
      <alignment horizontal="left" shrinkToFit="0" vertical="center" wrapText="1"/>
    </xf>
    <xf borderId="0" fillId="0" fontId="68" numFmtId="165" xfId="0" applyAlignment="1" applyFont="1" applyNumberFormat="1">
      <alignment horizontal="center" shrinkToFit="0" vertical="center" wrapText="1"/>
    </xf>
    <xf borderId="0" fillId="0" fontId="1" numFmtId="164" xfId="0" applyAlignment="1" applyFont="1" applyNumberFormat="1">
      <alignment horizontal="center" readingOrder="0" shrinkToFit="0" vertical="center" wrapText="1"/>
    </xf>
    <xf borderId="0" fillId="0" fontId="1" numFmtId="167" xfId="0" applyAlignment="1" applyFont="1" applyNumberFormat="1">
      <alignment horizontal="left" shrinkToFit="0" vertical="center" wrapText="1"/>
    </xf>
    <xf borderId="0" fillId="0" fontId="1" numFmtId="167" xfId="0" applyAlignment="1" applyFont="1" applyNumberForma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69" numFmtId="0" xfId="0" applyAlignment="1" applyFont="1">
      <alignment horizontal="center" shrinkToFit="0" vertical="center" wrapText="1"/>
    </xf>
    <xf borderId="0" fillId="0" fontId="70" numFmtId="165" xfId="0" applyAlignment="1" applyFont="1" applyNumberFormat="1">
      <alignment horizontal="center" shrinkToFit="0" vertical="center" wrapText="1"/>
    </xf>
    <xf borderId="0" fillId="0" fontId="63" numFmtId="165" xfId="0" applyAlignment="1" applyFont="1" applyNumberFormat="1">
      <alignment horizontal="left" shrinkToFit="0" vertical="center" wrapText="0"/>
    </xf>
    <xf borderId="0" fillId="0" fontId="8" numFmtId="4" xfId="0" applyAlignment="1" applyFont="1" applyNumberFormat="1">
      <alignment horizontal="center" shrinkToFit="0" vertical="center" wrapText="1"/>
    </xf>
    <xf borderId="0" fillId="0" fontId="8" numFmtId="4" xfId="0" applyAlignment="1" applyFont="1" applyNumberFormat="1">
      <alignment horizontal="right" shrinkToFit="0" vertical="center" wrapText="1"/>
    </xf>
    <xf borderId="0" fillId="0" fontId="71" numFmtId="0" xfId="0" applyAlignment="1" applyFont="1">
      <alignment horizontal="left" shrinkToFit="0" vertical="center" wrapText="1"/>
    </xf>
    <xf borderId="0" fillId="0" fontId="71" numFmtId="0" xfId="0" applyAlignment="1" applyFont="1">
      <alignment horizontal="left" shrinkToFit="0" vertical="center" wrapText="0"/>
    </xf>
    <xf borderId="0" fillId="0" fontId="71" numFmtId="0" xfId="0" applyAlignment="1" applyFont="1">
      <alignment horizontal="center" shrinkToFit="0" vertical="center" wrapText="1"/>
    </xf>
    <xf borderId="0" fillId="0" fontId="71" numFmtId="4" xfId="0" applyAlignment="1" applyFont="1" applyNumberFormat="1">
      <alignment horizontal="center" shrinkToFit="0" vertical="center" wrapText="1"/>
    </xf>
    <xf borderId="1" fillId="0" fontId="71" numFmtId="4" xfId="0" applyAlignment="1" applyBorder="1" applyFont="1" applyNumberFormat="1">
      <alignment horizontal="center" shrinkToFit="0" vertical="center" wrapText="1"/>
    </xf>
    <xf borderId="2" fillId="0" fontId="71" numFmtId="4" xfId="0" applyAlignment="1" applyBorder="1" applyFont="1" applyNumberFormat="1">
      <alignment horizontal="center" shrinkToFit="0" vertical="center" wrapText="1"/>
    </xf>
    <xf borderId="0" fillId="0" fontId="71" numFmtId="3" xfId="0" applyAlignment="1" applyFont="1" applyNumberFormat="1">
      <alignment horizontal="center" shrinkToFit="0" vertical="center" wrapText="1"/>
    </xf>
    <xf borderId="0" fillId="0" fontId="71" numFmtId="166" xfId="0" applyAlignment="1" applyFont="1" applyNumberFormat="1">
      <alignment horizontal="center" shrinkToFit="0" vertical="center" wrapText="1"/>
    </xf>
    <xf borderId="0" fillId="0" fontId="71" numFmtId="0" xfId="0" applyAlignment="1" applyFont="1">
      <alignment horizontal="left" readingOrder="0" shrinkToFit="0" vertical="center" wrapText="1"/>
    </xf>
    <xf borderId="0" fillId="0" fontId="63" numFmtId="165" xfId="0" applyAlignment="1" applyFont="1" applyNumberFormat="1">
      <alignment horizontal="left" readingOrder="0" shrinkToFit="0" vertical="center" wrapText="1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4">
    <tableStyle count="2" pivot="0" name="Смета-style">
      <tableStyleElement dxfId="1" type="firstRowStripe"/>
      <tableStyleElement dxfId="1" type="secondRowStripe"/>
    </tableStyle>
    <tableStyle count="2" pivot="0" name="Смета-style 2">
      <tableStyleElement dxfId="1" type="firstRowStripe"/>
      <tableStyleElement dxfId="2" type="secondRowStripe"/>
    </tableStyle>
    <tableStyle count="2" pivot="0" name="Смета-style 3">
      <tableStyleElement dxfId="1" type="firstRowStripe"/>
      <tableStyleElement dxfId="1" type="secondRowStripe"/>
    </tableStyle>
    <tableStyle count="2" pivot="0" name="Смета-style 4">
      <tableStyleElement dxfId="1" type="firstRowStripe"/>
      <tableStyleElement dxfId="1" type="secondRowStripe"/>
    </tableStyle>
    <tableStyle count="2" pivot="0" name="Смета-style 5">
      <tableStyleElement dxfId="1" type="firstRowStripe"/>
      <tableStyleElement dxfId="1" type="secondRowStripe"/>
    </tableStyle>
    <tableStyle count="2" pivot="0" name="Смета-style 6">
      <tableStyleElement dxfId="1" type="firstRowStripe"/>
      <tableStyleElement dxfId="2" type="secondRowStripe"/>
    </tableStyle>
    <tableStyle count="2" pivot="0" name="Смета-style 7">
      <tableStyleElement dxfId="1" type="firstRowStripe"/>
      <tableStyleElement dxfId="1" type="secondRowStripe"/>
    </tableStyle>
    <tableStyle count="2" pivot="0" name="Смета-style 8">
      <tableStyleElement dxfId="1" type="firstRowStripe"/>
      <tableStyleElement dxfId="1" type="secondRowStripe"/>
    </tableStyle>
    <tableStyle count="2" pivot="0" name="Смета-style 9">
      <tableStyleElement dxfId="1" type="firstRowStripe"/>
      <tableStyleElement dxfId="1" type="secondRowStripe"/>
    </tableStyle>
    <tableStyle count="2" pivot="0" name="Смета-style 10">
      <tableStyleElement dxfId="1" type="firstRowStripe"/>
      <tableStyleElement dxfId="1" type="secondRowStripe"/>
    </tableStyle>
    <tableStyle count="2" pivot="0" name="Смета-style 11">
      <tableStyleElement dxfId="1" type="firstRowStripe"/>
      <tableStyleElement dxfId="1" type="secondRowStripe"/>
    </tableStyle>
    <tableStyle count="2" pivot="0" name="Смета-style 12">
      <tableStyleElement dxfId="1" type="firstRowStripe"/>
      <tableStyleElement dxfId="1" type="secondRowStripe"/>
    </tableStyle>
    <tableStyle count="2" pivot="0" name="Смета-style 13">
      <tableStyleElement dxfId="1" type="firstRowStripe"/>
      <tableStyleElement dxfId="2" type="secondRowStripe"/>
    </tableStyle>
    <tableStyle count="2" pivot="0" name="Смета-style 14">
      <tableStyleElement dxfId="1" type="firstRowStripe"/>
      <tableStyleElement dxfId="1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2.png"/><Relationship Id="rId3" Type="http://schemas.openxmlformats.org/officeDocument/2006/relationships/image" Target="../media/image4.jpg"/><Relationship Id="rId4" Type="http://schemas.openxmlformats.org/officeDocument/2006/relationships/image" Target="../media/image3.jpg"/><Relationship Id="rId5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971550</xdr:colOff>
      <xdr:row>57</xdr:row>
      <xdr:rowOff>0</xdr:rowOff>
    </xdr:from>
    <xdr:ext cx="1066800" cy="0"/>
    <xdr:pic>
      <xdr:nvPicPr>
        <xdr:cNvPr id="0" name="image5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800100</xdr:colOff>
      <xdr:row>129</xdr:row>
      <xdr:rowOff>76200</xdr:rowOff>
    </xdr:from>
    <xdr:ext cx="1247775" cy="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57</xdr:row>
      <xdr:rowOff>0</xdr:rowOff>
    </xdr:from>
    <xdr:ext cx="2657475" cy="0"/>
    <xdr:pic>
      <xdr:nvPicPr>
        <xdr:cNvPr id="0" name="image4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57</xdr:row>
      <xdr:rowOff>0</xdr:rowOff>
    </xdr:from>
    <xdr:ext cx="2552700" cy="0"/>
    <xdr:pic>
      <xdr:nvPicPr>
        <xdr:cNvPr id="0" name="image3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781050</xdr:colOff>
      <xdr:row>163</xdr:row>
      <xdr:rowOff>0</xdr:rowOff>
    </xdr:from>
    <xdr:ext cx="1066800" cy="0"/>
    <xdr:pic>
      <xdr:nvPicPr>
        <xdr:cNvPr id="0" name="image1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781050</xdr:colOff>
      <xdr:row>165</xdr:row>
      <xdr:rowOff>0</xdr:rowOff>
    </xdr:from>
    <xdr:ext cx="1066800" cy="0"/>
    <xdr:pic>
      <xdr:nvPicPr>
        <xdr:cNvPr id="0" name="image1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971550</xdr:colOff>
      <xdr:row>57</xdr:row>
      <xdr:rowOff>0</xdr:rowOff>
    </xdr:from>
    <xdr:ext cx="1066800" cy="0"/>
    <xdr:pic>
      <xdr:nvPicPr>
        <xdr:cNvPr id="0" name="image5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57</xdr:row>
      <xdr:rowOff>0</xdr:rowOff>
    </xdr:from>
    <xdr:ext cx="2657475" cy="0"/>
    <xdr:pic>
      <xdr:nvPicPr>
        <xdr:cNvPr id="0" name="image4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A98:AB102" displayName="Table_1" id="1">
  <tableColumns count="2">
    <tableColumn name="Column1" id="1"/>
    <tableColumn name="Column2" id="2"/>
  </tableColumns>
  <tableStyleInfo name="Смета-style" showColumnStripes="0" showFirstColumn="1" showLastColumn="1" showRowStripes="1"/>
</table>
</file>

<file path=xl/tables/table10.xml><?xml version="1.0" encoding="utf-8"?>
<table xmlns="http://schemas.openxmlformats.org/spreadsheetml/2006/main" headerRowCount="0" ref="Z98:Z102" displayName="Table_10" id="10">
  <tableColumns count="1">
    <tableColumn name="Column1" id="1"/>
  </tableColumns>
  <tableStyleInfo name="Смета-style 10" showColumnStripes="0" showFirstColumn="1" showLastColumn="1" showRowStripes="1"/>
</table>
</file>

<file path=xl/tables/table11.xml><?xml version="1.0" encoding="utf-8"?>
<table xmlns="http://schemas.openxmlformats.org/spreadsheetml/2006/main" headerRowCount="0" ref="C135:X161" displayName="Table_11" id="11">
  <tableColumns count="22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</tableColumns>
  <tableStyleInfo name="Смета-style 11" showColumnStripes="0" showFirstColumn="1" showLastColumn="1" showRowStripes="1"/>
</table>
</file>

<file path=xl/tables/table12.xml><?xml version="1.0" encoding="utf-8"?>
<table xmlns="http://schemas.openxmlformats.org/spreadsheetml/2006/main" headerRowCount="0" ref="C98:Y126" displayName="Table_12" id="12">
  <tableColumns count="23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</tableColumns>
  <tableStyleInfo name="Смета-style 12" showColumnStripes="0" showFirstColumn="1" showLastColumn="1" showRowStripes="1"/>
</table>
</file>

<file path=xl/tables/table13.xml><?xml version="1.0" encoding="utf-8"?>
<table xmlns="http://schemas.openxmlformats.org/spreadsheetml/2006/main" headerRowCount="0" ref="Z105:AB105" displayName="Table_13" id="13">
  <tableColumns count="3">
    <tableColumn name="Column1" id="1"/>
    <tableColumn name="Column2" id="2"/>
    <tableColumn name="Column3" id="3"/>
  </tableColumns>
  <tableStyleInfo name="Смета-style 13" showColumnStripes="0" showFirstColumn="1" showLastColumn="1" showRowStripes="1"/>
</table>
</file>

<file path=xl/tables/table14.xml><?xml version="1.0" encoding="utf-8"?>
<table xmlns="http://schemas.openxmlformats.org/spreadsheetml/2006/main" headerRowCount="0" ref="Z106:AB108" displayName="Table_14" id="14">
  <tableColumns count="3">
    <tableColumn name="Column1" id="1"/>
    <tableColumn name="Column2" id="2"/>
    <tableColumn name="Column3" id="3"/>
  </tableColumns>
  <tableStyleInfo name="Смета-style 14" showColumnStripes="0" showFirstColumn="1" showLastColumn="1" showRowStripes="1"/>
</table>
</file>

<file path=xl/tables/table2.xml><?xml version="1.0" encoding="utf-8"?>
<table xmlns="http://schemas.openxmlformats.org/spreadsheetml/2006/main" headerRowCount="0" ref="AA103:AB104" displayName="Table_2" id="2">
  <tableColumns count="2">
    <tableColumn name="Column1" id="1"/>
    <tableColumn name="Column2" id="2"/>
  </tableColumns>
  <tableStyleInfo name="Смета-style 2" showColumnStripes="0" showFirstColumn="1" showLastColumn="1" showRowStripes="1"/>
</table>
</file>

<file path=xl/tables/table3.xml><?xml version="1.0" encoding="utf-8"?>
<table xmlns="http://schemas.openxmlformats.org/spreadsheetml/2006/main" headerRowCount="0" ref="AG48:AH54" displayName="Table_3" id="3">
  <tableColumns count="2">
    <tableColumn name="Column1" id="1"/>
    <tableColumn name="Column2" id="2"/>
  </tableColumns>
  <tableStyleInfo name="Смета-style 3" showColumnStripes="0" showFirstColumn="1" showLastColumn="1" showRowStripes="1"/>
</table>
</file>

<file path=xl/tables/table4.xml><?xml version="1.0" encoding="utf-8"?>
<table xmlns="http://schemas.openxmlformats.org/spreadsheetml/2006/main" headerRowCount="0" ref="AG55:AH55" displayName="Table_4" id="4">
  <tableColumns count="2">
    <tableColumn name="Column1" id="1"/>
    <tableColumn name="Column2" id="2"/>
  </tableColumns>
  <tableStyleInfo name="Смета-style 4" showColumnStripes="0" showFirstColumn="1" showLastColumn="1" showRowStripes="1"/>
</table>
</file>

<file path=xl/tables/table5.xml><?xml version="1.0" encoding="utf-8"?>
<table xmlns="http://schemas.openxmlformats.org/spreadsheetml/2006/main" headerRowCount="0" ref="AG56:AH57" displayName="Table_5" id="5">
  <tableColumns count="2">
    <tableColumn name="Column1" id="1"/>
    <tableColumn name="Column2" id="2"/>
  </tableColumns>
  <tableStyleInfo name="Смета-style 5" showColumnStripes="0" showFirstColumn="1" showLastColumn="1" showRowStripes="1"/>
</table>
</file>

<file path=xl/tables/table6.xml><?xml version="1.0" encoding="utf-8"?>
<table xmlns="http://schemas.openxmlformats.org/spreadsheetml/2006/main" headerRowCount="0" ref="Y53:AA53" displayName="Table_6" id="6">
  <tableColumns count="3">
    <tableColumn name="Column1" id="1"/>
    <tableColumn name="Column2" id="2"/>
    <tableColumn name="Column3" id="3"/>
  </tableColumns>
  <tableStyleInfo name="Смета-style 6" showColumnStripes="0" showFirstColumn="1" showLastColumn="1" showRowStripes="1"/>
</table>
</file>

<file path=xl/tables/table7.xml><?xml version="1.0" encoding="utf-8"?>
<table xmlns="http://schemas.openxmlformats.org/spreadsheetml/2006/main" headerRowCount="0" ref="Y54:Z57" displayName="Table_7" id="7">
  <tableColumns count="2">
    <tableColumn name="Column1" id="1"/>
    <tableColumn name="Column2" id="2"/>
  </tableColumns>
  <tableStyleInfo name="Смета-style 7" showColumnStripes="0" showFirstColumn="1" showLastColumn="1" showRowStripes="1"/>
</table>
</file>

<file path=xl/tables/table8.xml><?xml version="1.0" encoding="utf-8"?>
<table xmlns="http://schemas.openxmlformats.org/spreadsheetml/2006/main" headerRowCount="0" ref="D48:AB52" displayName="Table_8" id="8">
  <tableColumns count="25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</tableColumns>
  <tableStyleInfo name="Смета-style 8" showColumnStripes="0" showFirstColumn="1" showLastColumn="1" showRowStripes="1"/>
</table>
</file>

<file path=xl/tables/table9.xml><?xml version="1.0" encoding="utf-8"?>
<table xmlns="http://schemas.openxmlformats.org/spreadsheetml/2006/main" headerRowCount="0" ref="C163:X163" displayName="Table_9" id="9">
  <tableColumns count="22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</tableColumns>
  <tableStyleInfo name="Смета-style 9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cosmorelax.ru/catalog/interernye_stulya/stul_y_210/" TargetMode="External"/><Relationship Id="rId190" Type="http://schemas.openxmlformats.org/officeDocument/2006/relationships/hyperlink" Target="https://www.instagram.com/divotex_studio/" TargetMode="External"/><Relationship Id="rId42" Type="http://schemas.openxmlformats.org/officeDocument/2006/relationships/hyperlink" Target="https://lifemebel.ru/catalog/pletenaya_mebel/divany_i_kresla/podvesnie_kresla/model/podvesnoe_kreslo_afm_169a_lb_beige/?gclid=CjwKCAjw95yJBhAgEiwAmRrutPaWCo0Tg17FeYXVAH7frJLy3vboSs_LFlCYRTseKDUWk1pTgthOXxoCLvsQAvD_BwE" TargetMode="External"/><Relationship Id="rId41" Type="http://schemas.openxmlformats.org/officeDocument/2006/relationships/hyperlink" Target="https://www.cosmorelax.ru/catalog/interernye_stulya/stul_y_210/" TargetMode="External"/><Relationship Id="rId44" Type="http://schemas.openxmlformats.org/officeDocument/2006/relationships/hyperlink" Target="https://artzerkal.ru/" TargetMode="External"/><Relationship Id="rId194" Type="http://schemas.openxmlformats.org/officeDocument/2006/relationships/hyperlink" Target="https://www.instagram.com/divotex_studio/" TargetMode="External"/><Relationship Id="rId43" Type="http://schemas.openxmlformats.org/officeDocument/2006/relationships/hyperlink" Target="https://lifemebel.ru/catalog/pletenaya_mebel/divany_i_kresla/podvesnie_kresla/model/podvesnoe_kreslo_afm_169a_lb_beige/?gclid=CjwKCAjw95yJBhAgEiwAmRrutPaWCo0Tg17FeYXVAH7frJLy3vboSs_LFlCYRTseKDUWk1pTgthOXxoCLvsQAvD_BwE" TargetMode="External"/><Relationship Id="rId193" Type="http://schemas.openxmlformats.org/officeDocument/2006/relationships/hyperlink" Target="https://www.instagram.com/divotex_studio/" TargetMode="External"/><Relationship Id="rId46" Type="http://schemas.openxmlformats.org/officeDocument/2006/relationships/hyperlink" Target="https://artzerkal.ru/" TargetMode="External"/><Relationship Id="rId192" Type="http://schemas.openxmlformats.org/officeDocument/2006/relationships/hyperlink" Target="https://www.instagram.com/divotex_studio/" TargetMode="External"/><Relationship Id="rId45" Type="http://schemas.openxmlformats.org/officeDocument/2006/relationships/hyperlink" Target="https://artzerkal.ru/" TargetMode="External"/><Relationship Id="rId191" Type="http://schemas.openxmlformats.org/officeDocument/2006/relationships/hyperlink" Target="https://www.instagram.com/divotex_studio/" TargetMode="External"/><Relationship Id="rId48" Type="http://schemas.openxmlformats.org/officeDocument/2006/relationships/hyperlink" Target="https://artzerkal.ru/" TargetMode="External"/><Relationship Id="rId187" Type="http://schemas.openxmlformats.org/officeDocument/2006/relationships/hyperlink" Target="https://www.instagram.com/divotex_studio/" TargetMode="External"/><Relationship Id="rId47" Type="http://schemas.openxmlformats.org/officeDocument/2006/relationships/hyperlink" Target="https://artzerkal.ru/" TargetMode="External"/><Relationship Id="rId186" Type="http://schemas.openxmlformats.org/officeDocument/2006/relationships/hyperlink" Target="https://www.instagram.com/divotex_studio/" TargetMode="External"/><Relationship Id="rId185" Type="http://schemas.openxmlformats.org/officeDocument/2006/relationships/hyperlink" Target="https://www.instagram.com/divotex_studio/" TargetMode="External"/><Relationship Id="rId49" Type="http://schemas.openxmlformats.org/officeDocument/2006/relationships/hyperlink" Target="https://artzerkal.ru/" TargetMode="External"/><Relationship Id="rId184" Type="http://schemas.openxmlformats.org/officeDocument/2006/relationships/hyperlink" Target="https://www.instagram.com/divotex_studio/" TargetMode="External"/><Relationship Id="rId189" Type="http://schemas.openxmlformats.org/officeDocument/2006/relationships/hyperlink" Target="https://www.instagram.com/divotex_studio/" TargetMode="External"/><Relationship Id="rId188" Type="http://schemas.openxmlformats.org/officeDocument/2006/relationships/hyperlink" Target="https://www.instagram.com/divotex_studio/" TargetMode="External"/><Relationship Id="rId31" Type="http://schemas.openxmlformats.org/officeDocument/2006/relationships/hyperlink" Target="https://www.cosmorelax.ru/catalog/kofeynye/kofeynyy_stolik_melano_isk_kamen/" TargetMode="External"/><Relationship Id="rId30" Type="http://schemas.openxmlformats.org/officeDocument/2006/relationships/hyperlink" Target="https://www.cosmorelax.ru/catalog/kofeynye/kofeynyy_stolik_melano_isk_kamen/" TargetMode="External"/><Relationship Id="rId33" Type="http://schemas.openxmlformats.org/officeDocument/2006/relationships/hyperlink" Target="https://www.cosmorelax.ru/catalog/interernye_stulya/kreslo_danai_svetlo_seroe_tkanevoe/" TargetMode="External"/><Relationship Id="rId183" Type="http://schemas.openxmlformats.org/officeDocument/2006/relationships/hyperlink" Target="https://www.instagram.com/divotex_studio/" TargetMode="External"/><Relationship Id="rId32" Type="http://schemas.openxmlformats.org/officeDocument/2006/relationships/hyperlink" Target="https://www.cosmorelax.ru/catalog/interernye_stulya/kreslo_danai_svetlo_seroe_tkanevoe/" TargetMode="External"/><Relationship Id="rId182" Type="http://schemas.openxmlformats.org/officeDocument/2006/relationships/hyperlink" Target="https://www.instagram.com/divotex_studio/" TargetMode="External"/><Relationship Id="rId35" Type="http://schemas.openxmlformats.org/officeDocument/2006/relationships/hyperlink" Target="https://unikamoblar.ru/johann" TargetMode="External"/><Relationship Id="rId181" Type="http://schemas.openxmlformats.org/officeDocument/2006/relationships/hyperlink" Target="https://www.instagram.com/divotex_studio/" TargetMode="External"/><Relationship Id="rId34" Type="http://schemas.openxmlformats.org/officeDocument/2006/relationships/hyperlink" Target="https://unikamoblar.ru/johann" TargetMode="External"/><Relationship Id="rId180" Type="http://schemas.openxmlformats.org/officeDocument/2006/relationships/hyperlink" Target="https://www.instagram.com/divotex_studio/" TargetMode="External"/><Relationship Id="rId37" Type="http://schemas.openxmlformats.org/officeDocument/2006/relationships/hyperlink" Target="https://www.barcelonadesign.ru/catalog/stulya_3/kreslo_konnie_temno_seroe/" TargetMode="External"/><Relationship Id="rId176" Type="http://schemas.openxmlformats.org/officeDocument/2006/relationships/hyperlink" Target="https://www.instagram.com/divotex_studio/" TargetMode="External"/><Relationship Id="rId36" Type="http://schemas.openxmlformats.org/officeDocument/2006/relationships/hyperlink" Target="https://www.barcelonadesign.ru/catalog/stulya_3/kreslo_konnie_temno_seroe/" TargetMode="External"/><Relationship Id="rId175" Type="http://schemas.openxmlformats.org/officeDocument/2006/relationships/hyperlink" Target="https://www.instagram.com/divotex_studio/" TargetMode="External"/><Relationship Id="rId39" Type="http://schemas.openxmlformats.org/officeDocument/2006/relationships/hyperlink" Target="https://www.barcelonadesign.ru/catalog/stulya_3/stul_herbert_rozovyy_barkhat/" TargetMode="External"/><Relationship Id="rId174" Type="http://schemas.openxmlformats.org/officeDocument/2006/relationships/hyperlink" Target="https://www.instagram.com/divotex_studio/" TargetMode="External"/><Relationship Id="rId38" Type="http://schemas.openxmlformats.org/officeDocument/2006/relationships/hyperlink" Target="https://www.barcelonadesign.ru/catalog/stulya_3/stul_herbert_rozovyy_barkhat/" TargetMode="External"/><Relationship Id="rId173" Type="http://schemas.openxmlformats.org/officeDocument/2006/relationships/hyperlink" Target="https://www.jung.de/ru/862/ls-990/" TargetMode="External"/><Relationship Id="rId179" Type="http://schemas.openxmlformats.org/officeDocument/2006/relationships/hyperlink" Target="https://www.instagram.com/divotex_studio/" TargetMode="External"/><Relationship Id="rId178" Type="http://schemas.openxmlformats.org/officeDocument/2006/relationships/hyperlink" Target="https://www.instagram.com/divotex_studio/" TargetMode="External"/><Relationship Id="rId177" Type="http://schemas.openxmlformats.org/officeDocument/2006/relationships/hyperlink" Target="https://www.instagram.com/divotex_studio/" TargetMode="External"/><Relationship Id="rId20" Type="http://schemas.openxmlformats.org/officeDocument/2006/relationships/hyperlink" Target="https://odesign.ru/stars-103-3015/" TargetMode="External"/><Relationship Id="rId22" Type="http://schemas.openxmlformats.org/officeDocument/2006/relationships/hyperlink" Target="https://thefields.ru/poufs/puf-halmar-hexa-2-seryy-v-ch-hexa-2-pufa-popielaty/" TargetMode="External"/><Relationship Id="rId21" Type="http://schemas.openxmlformats.org/officeDocument/2006/relationships/hyperlink" Target="https://odesign.ru/stars-103-3015/" TargetMode="External"/><Relationship Id="rId24" Type="http://schemas.openxmlformats.org/officeDocument/2006/relationships/hyperlink" Target="https://sonberry.ru/krovati/timo/?PROP_328=9&amp;PROP_348=1&amp;PROP_349=1" TargetMode="External"/><Relationship Id="rId23" Type="http://schemas.openxmlformats.org/officeDocument/2006/relationships/hyperlink" Target="https://thefields.ru/poufs/puf-halmar-hexa-2-seryy-v-ch-hexa-2-pufa-popielaty/" TargetMode="External"/><Relationship Id="rId26" Type="http://schemas.openxmlformats.org/officeDocument/2006/relationships/hyperlink" Target="https://www.cosmorelax.ru/catalog/prikrovatnye_tumby/tumba_prikrovatnaya_harvard_cp1801h_wh_ss4/" TargetMode="External"/><Relationship Id="rId25" Type="http://schemas.openxmlformats.org/officeDocument/2006/relationships/hyperlink" Target="https://sonberry.ru/krovati/timo/?PROP_328=9&amp;PROP_348=1&amp;PROP_349=1" TargetMode="External"/><Relationship Id="rId28" Type="http://schemas.openxmlformats.org/officeDocument/2006/relationships/hyperlink" Target="https://www.cosmorelax.ru/catalog/interernye/kreslo_0000075731/" TargetMode="External"/><Relationship Id="rId27" Type="http://schemas.openxmlformats.org/officeDocument/2006/relationships/hyperlink" Target="https://www.cosmorelax.ru/catalog/prikrovatnye_tumby/tumba_prikrovatnaya_harvard_cp1801h_wh_ss4/" TargetMode="External"/><Relationship Id="rId29" Type="http://schemas.openxmlformats.org/officeDocument/2006/relationships/hyperlink" Target="https://www.cosmorelax.ru/catalog/interernye/kreslo_0000075731/" TargetMode="External"/><Relationship Id="rId11" Type="http://schemas.openxmlformats.org/officeDocument/2006/relationships/hyperlink" Target="https://www.instagram.com/stoleshnica_/" TargetMode="External"/><Relationship Id="rId10" Type="http://schemas.openxmlformats.org/officeDocument/2006/relationships/hyperlink" Target="https://www.loggia.ru/" TargetMode="External"/><Relationship Id="rId13" Type="http://schemas.openxmlformats.org/officeDocument/2006/relationships/hyperlink" Target="https://olimp-parketa.ru/catalog/inzhenernaya-doska/inzhenernaya-doska-coswick-dub-solomennyy-1167-4541-shelkovoe-maslo-ultramatovoe-2-m2/" TargetMode="External"/><Relationship Id="rId12" Type="http://schemas.openxmlformats.org/officeDocument/2006/relationships/hyperlink" Target="https://www.instagram.com/barelief_art_kartina/" TargetMode="External"/><Relationship Id="rId15" Type="http://schemas.openxmlformats.org/officeDocument/2006/relationships/hyperlink" Target="https://manders.ru/" TargetMode="External"/><Relationship Id="rId198" Type="http://schemas.openxmlformats.org/officeDocument/2006/relationships/drawing" Target="../drawings/drawing1.xml"/><Relationship Id="rId14" Type="http://schemas.openxmlformats.org/officeDocument/2006/relationships/hyperlink" Target="https://manders.ru/" TargetMode="External"/><Relationship Id="rId197" Type="http://schemas.openxmlformats.org/officeDocument/2006/relationships/hyperlink" Target="https://www.instagram.com/divotex_studio/" TargetMode="External"/><Relationship Id="rId17" Type="http://schemas.openxmlformats.org/officeDocument/2006/relationships/hyperlink" Target="https://manders.ru/" TargetMode="External"/><Relationship Id="rId196" Type="http://schemas.openxmlformats.org/officeDocument/2006/relationships/hyperlink" Target="https://www.instagram.com/divotex_studio/" TargetMode="External"/><Relationship Id="rId16" Type="http://schemas.openxmlformats.org/officeDocument/2006/relationships/hyperlink" Target="https://manders.ru/" TargetMode="External"/><Relationship Id="rId195" Type="http://schemas.openxmlformats.org/officeDocument/2006/relationships/hyperlink" Target="https://www.instagram.com/divotex_studio/" TargetMode="External"/><Relationship Id="rId19" Type="http://schemas.openxmlformats.org/officeDocument/2006/relationships/hyperlink" Target="https://manders.ru/" TargetMode="External"/><Relationship Id="rId18" Type="http://schemas.openxmlformats.org/officeDocument/2006/relationships/hyperlink" Target="https://manders.ru/" TargetMode="External"/><Relationship Id="rId84" Type="http://schemas.openxmlformats.org/officeDocument/2006/relationships/hyperlink" Target="https://styllight.ru/svetilniki/hidden/" TargetMode="External"/><Relationship Id="rId83" Type="http://schemas.openxmlformats.org/officeDocument/2006/relationships/hyperlink" Target="https://www.barcelonadesign.ru/catalog/bra_reguliruemye/bra_reguliruemoe_torch_chernoe/" TargetMode="External"/><Relationship Id="rId86" Type="http://schemas.openxmlformats.org/officeDocument/2006/relationships/hyperlink" Target="https://styllight.ru/svetilniki/marshal-f/" TargetMode="External"/><Relationship Id="rId85" Type="http://schemas.openxmlformats.org/officeDocument/2006/relationships/hyperlink" Target="https://styllight.ru/svetilniki/hidden/" TargetMode="External"/><Relationship Id="rId88" Type="http://schemas.openxmlformats.org/officeDocument/2006/relationships/hyperlink" Target="https://www.lampatron.ru/cat/item/design-lamps-matisse-r-self/" TargetMode="External"/><Relationship Id="rId150" Type="http://schemas.openxmlformats.org/officeDocument/2006/relationships/hyperlink" Target="https://basicdecor.ru/kryuchok-dvoinoi-bemeta-white-104106034/" TargetMode="External"/><Relationship Id="rId87" Type="http://schemas.openxmlformats.org/officeDocument/2006/relationships/hyperlink" Target="https://styllight.ru/svetilniki/marshal-f/" TargetMode="External"/><Relationship Id="rId89" Type="http://schemas.openxmlformats.org/officeDocument/2006/relationships/hyperlink" Target="https://www.lampatron.ru/cat/item/design-lamps-matisse-r-self/" TargetMode="External"/><Relationship Id="rId80" Type="http://schemas.openxmlformats.org/officeDocument/2006/relationships/hyperlink" Target="https://www.cosmorelax.ru/catalog/nastennye/nastennyy_svetilnik_el062/" TargetMode="External"/><Relationship Id="rId82" Type="http://schemas.openxmlformats.org/officeDocument/2006/relationships/hyperlink" Target="https://www.barcelonadesign.ru/catalog/bra_reguliruemye/bra_reguliruemoe_torch_chernoe/" TargetMode="External"/><Relationship Id="rId81" Type="http://schemas.openxmlformats.org/officeDocument/2006/relationships/hyperlink" Target="https://frezia-light.ru/aromas-a1247-bronce-bra/" TargetMode="External"/><Relationship Id="rId1" Type="http://schemas.openxmlformats.org/officeDocument/2006/relationships/hyperlink" Target="https://mosplitka.ru/product/keramogranit_gevorg_latte_19_4kh120_nepol/" TargetMode="External"/><Relationship Id="rId2" Type="http://schemas.openxmlformats.org/officeDocument/2006/relationships/hyperlink" Target="https://mosplitka.ru/product/keramogranit-millenium-ayron-80kh160/" TargetMode="External"/><Relationship Id="rId3" Type="http://schemas.openxmlformats.org/officeDocument/2006/relationships/hyperlink" Target="https://mosplitka.ru/product/keramogranit-millenium-silver-60kh120/" TargetMode="External"/><Relationship Id="rId149" Type="http://schemas.openxmlformats.org/officeDocument/2006/relationships/hyperlink" Target="https://basicdecor.ru/products/1157575/" TargetMode="External"/><Relationship Id="rId4" Type="http://schemas.openxmlformats.org/officeDocument/2006/relationships/hyperlink" Target="https://mosplitka.ru/product/keramogranit-millenium-ayron-60kh60/" TargetMode="External"/><Relationship Id="rId148" Type="http://schemas.openxmlformats.org/officeDocument/2006/relationships/hyperlink" Target="https://basicdecor.ru/products/1157575/" TargetMode="External"/><Relationship Id="rId9" Type="http://schemas.openxmlformats.org/officeDocument/2006/relationships/hyperlink" Target="https://www.loggia.ru/" TargetMode="External"/><Relationship Id="rId143" Type="http://schemas.openxmlformats.org/officeDocument/2006/relationships/hyperlink" Target="https://basicdecor.ru/products/1082667/" TargetMode="External"/><Relationship Id="rId142" Type="http://schemas.openxmlformats.org/officeDocument/2006/relationships/hyperlink" Target="https://basicdecor.ru/products/1082667/" TargetMode="External"/><Relationship Id="rId141" Type="http://schemas.openxmlformats.org/officeDocument/2006/relationships/hyperlink" Target="https://santehnika-online.ru/product/knopka_smyva_tece_loop_9240640_belaya_antibakterialnaya/?utm_source=google&amp;utm_medium=cpc&amp;utm_campaign=gmc-none-obshchaya-0-kz-none-1525324928&amp;utm_content=v2%7C%7C289600303082%7C%7Cpla-672948424044%7C%7C%7C%7C59978113324%7C%7C1525324928%7C%7C%7C%7Cg%7C%7C%7C%7C%7C%7Cpla%7C%7C8381386%7C%7Conline%7C%7C261398%7C%7CRU%7C%7Cru%7C%7C672948424044%7C%7C%7C%7C%7C%7C%7C%7Cc%7C%7C672948424044%7C%7C9047025%7C%7C1012054%7C%7C&amp;gclid=CjwKCAjwz_WGBhA1EiwAUAxIceV5cQQQf93Vew_gDOdPeJ1CPhMBPxGQoEkNZdzmJBNs0JOI8h6m9BoC9csQAvD_BwE" TargetMode="External"/><Relationship Id="rId140" Type="http://schemas.openxmlformats.org/officeDocument/2006/relationships/hyperlink" Target="https://santehnika-online.ru/product/knopka_smyva_tece_loop_9240640_belaya_antibakterialnaya/?utm_source=google&amp;utm_medium=cpc&amp;utm_campaign=gmc-none-obshchaya-0-kz-none-1525324928&amp;utm_content=v2%7C%7C289600303082%7C%7Cpla-672948424044%7C%7C%7C%7C59978113324%7C%7C1525324928%7C%7C%7C%7Cg%7C%7C%7C%7C%7C%7Cpla%7C%7C8381386%7C%7Conline%7C%7C261398%7C%7CRU%7C%7Cru%7C%7C672948424044%7C%7C%7C%7C%7C%7C%7C%7Cc%7C%7C672948424044%7C%7C9047025%7C%7C1012054%7C%7C&amp;gclid=CjwKCAjwz_WGBhA1EiwAUAxIceV5cQQQf93Vew_gDOdPeJ1CPhMBPxGQoEkNZdzmJBNs0JOI8h6m9BoC9csQAvD_BwE" TargetMode="External"/><Relationship Id="rId5" Type="http://schemas.openxmlformats.org/officeDocument/2006/relationships/hyperlink" Target="https://mosplitka.ru/product/keramogranit-millenium-ayron-80kh160/" TargetMode="External"/><Relationship Id="rId147" Type="http://schemas.openxmlformats.org/officeDocument/2006/relationships/hyperlink" Target="https://www.techport.ru/katalog/products/santehnika/smesiteli/smesitel-na-bort-vanny-cezares-741148?city=RUS&amp;utm_source=google&amp;utm_medium=cpc&amp;utm_campaign=New_GGLSHP-Bez_filtra-MSK-all_cats%7Ccampid%7C8257104396%7C%7Ctype%7Cu&amp;utm_content=k50id%7Cpla-1290589310134%7Ccampid%7C8257104396%7Ccreative%7C399661214613%7C%7Cgroupid%7C89187823830%7C%7Cposition%7C%7C%7Cmatchtype%7C%7C%7Cfeeditemid%7C%7C%7Cdevice%7Cc%7C%7Cmodel%7C%7C%7C%5Bdesktop%5D%7C%7Ctarget%7C%7C%7Ctargetid%7Cpla-1290589310134%7C%7Cplacement%7C%7C%7Cgeointeres%7C%7C%7Cgeolocal%7C9047025%7C%7Cproductinfo:channel%7Conline%7Clanguage%7Cru%7Ccountry%7CRU%7Cid%7C741148_RUS%7Cpartition_id%7C1290589310134%7C%7Cadtype%7C%7C%7Cmerchantid%7C10455073&amp;rc=adw&amp;from=adw&amp;k50id=89187823830%7Cpla-1290589310134&amp;gclid=Cj0KCQjw8vqGBhC_ARIsADMSd1BV0dlNk0KHLGYVMw8ZMphL2E8peHuccQJOFREwdC1eSnM3XdwudMsaAr-LEALw_wcB&amp;gclid=Cj0KCQjw8vqGBhC_ARIsADMSd1BV0dlNk0KHLGYVMw8ZMphL2E8peHuccQJOFREwdC1eSnM3XdwudMsaAr-LEALw_wcB" TargetMode="External"/><Relationship Id="rId6" Type="http://schemas.openxmlformats.org/officeDocument/2006/relationships/hyperlink" Target="https://mosplitka.ru/product/plitka-avenzo-silver-w-m-30kh90-r-glossy-1/" TargetMode="External"/><Relationship Id="rId146" Type="http://schemas.openxmlformats.org/officeDocument/2006/relationships/hyperlink" Target="https://www.techport.ru/katalog/products/santehnika/smesiteli/smesitel-na-bort-vanny-cezares-741148?city=RUS&amp;utm_source=google&amp;utm_medium=cpc&amp;utm_campaign=New_GGLSHP-Bez_filtra-MSK-all_cats%7Ccampid%7C8257104396%7C%7Ctype%7Cu&amp;utm_content=k50id%7Cpla-1290589310134%7Ccampid%7C8257104396%7Ccreative%7C399661214613%7C%7Cgroupid%7C89187823830%7C%7Cposition%7C%7C%7Cmatchtype%7C%7C%7Cfeeditemid%7C%7C%7Cdevice%7Cc%7C%7Cmodel%7C%7C%7C%5Bdesktop%5D%7C%7Ctarget%7C%7C%7Ctargetid%7Cpla-1290589310134%7C%7Cplacement%7C%7C%7Cgeointeres%7C%7C%7Cgeolocal%7C9047025%7C%7Cproductinfo:channel%7Conline%7Clanguage%7Cru%7Ccountry%7CRU%7Cid%7C741148_RUS%7Cpartition_id%7C1290589310134%7C%7Cadtype%7C%7C%7Cmerchantid%7C10455073&amp;rc=adw&amp;from=adw&amp;k50id=89187823830%7Cpla-1290589310134&amp;gclid=Cj0KCQjw8vqGBhC_ARIsADMSd1BV0dlNk0KHLGYVMw8ZMphL2E8peHuccQJOFREwdC1eSnM3XdwudMsaAr-LEALw_wcB&amp;gclid=Cj0KCQjw8vqGBhC_ARIsADMSd1BV0dlNk0KHLGYVMw8ZMphL2E8peHuccQJOFREwdC1eSnM3XdwudMsaAr-LEALw_wcB" TargetMode="External"/><Relationship Id="rId7" Type="http://schemas.openxmlformats.org/officeDocument/2006/relationships/hyperlink" Target="https://www.loggia.ru/" TargetMode="External"/><Relationship Id="rId145" Type="http://schemas.openxmlformats.org/officeDocument/2006/relationships/hyperlink" Target="https://paffoni-shop.ru/shop/smesiteli-dlya-rakoviny/vysokie-smesiteli/smesitel-dlya-rakoviny-paffoni-light-lig081bo-belyj" TargetMode="External"/><Relationship Id="rId8" Type="http://schemas.openxmlformats.org/officeDocument/2006/relationships/hyperlink" Target="https://www.loggia.ru/" TargetMode="External"/><Relationship Id="rId144" Type="http://schemas.openxmlformats.org/officeDocument/2006/relationships/hyperlink" Target="https://paffoni-shop.ru/shop/smesiteli-dlya-rakoviny/vysokie-smesiteli/smesitel-dlya-rakoviny-paffoni-light-lig081bo-belyj" TargetMode="External"/><Relationship Id="rId73" Type="http://schemas.openxmlformats.org/officeDocument/2006/relationships/hyperlink" Target="https://thefields.ru/chandelier/chandelier-mine-5l-white/" TargetMode="External"/><Relationship Id="rId72" Type="http://schemas.openxmlformats.org/officeDocument/2006/relationships/hyperlink" Target="https://thefields.ru/chandelier/chandelier-mine-5l-white/" TargetMode="External"/><Relationship Id="rId75" Type="http://schemas.openxmlformats.org/officeDocument/2006/relationships/hyperlink" Target="https://styllight.ru/svetilniki/hidden/" TargetMode="External"/><Relationship Id="rId74" Type="http://schemas.openxmlformats.org/officeDocument/2006/relationships/hyperlink" Target="https://styllight.ru/svetilniki/hidden/" TargetMode="External"/><Relationship Id="rId77" Type="http://schemas.openxmlformats.org/officeDocument/2006/relationships/hyperlink" Target="https://styllight.ru/svetilniki/hidden/" TargetMode="External"/><Relationship Id="rId76" Type="http://schemas.openxmlformats.org/officeDocument/2006/relationships/hyperlink" Target="https://styllight.ru/svetilniki/hidden/" TargetMode="External"/><Relationship Id="rId79" Type="http://schemas.openxmlformats.org/officeDocument/2006/relationships/hyperlink" Target="https://thefields.ru/chandelier/-favourite-varietas-2649-14p/" TargetMode="External"/><Relationship Id="rId78" Type="http://schemas.openxmlformats.org/officeDocument/2006/relationships/hyperlink" Target="https://thefields.ru/chandelier/-favourite-varietas-2649-14p/" TargetMode="External"/><Relationship Id="rId71" Type="http://schemas.openxmlformats.org/officeDocument/2006/relationships/hyperlink" Target="https://styllight.ru/svetilniki/oriental-bra/" TargetMode="External"/><Relationship Id="rId70" Type="http://schemas.openxmlformats.org/officeDocument/2006/relationships/hyperlink" Target="https://styllight.ru/svetilniki/oriental-bra/" TargetMode="External"/><Relationship Id="rId139" Type="http://schemas.openxmlformats.org/officeDocument/2006/relationships/hyperlink" Target="https://basicdecor.ru/products/332239/" TargetMode="External"/><Relationship Id="rId138" Type="http://schemas.openxmlformats.org/officeDocument/2006/relationships/hyperlink" Target="https://basicdecor.ru/products/332239/" TargetMode="External"/><Relationship Id="rId137" Type="http://schemas.openxmlformats.org/officeDocument/2006/relationships/hyperlink" Target="https://www.sanitary-ceramica.ru/product/sidene_dlya_unitaza_cielo_enjoy_cpvejnewf_bia/" TargetMode="External"/><Relationship Id="rId132" Type="http://schemas.openxmlformats.org/officeDocument/2006/relationships/hyperlink" Target="https://www.mtk-gr.ru/products/sistema-zaschity-ot-protechek-vody-gidrolock-kvartira-160514" TargetMode="External"/><Relationship Id="rId131" Type="http://schemas.openxmlformats.org/officeDocument/2006/relationships/hyperlink" Target="https://basicdecor.ru/zhelob-vodostok-berges-super-slim-090152/" TargetMode="External"/><Relationship Id="rId130" Type="http://schemas.openxmlformats.org/officeDocument/2006/relationships/hyperlink" Target="https://basicdecor.ru/zhelob-vodostok-berges-super-slim-090152/" TargetMode="External"/><Relationship Id="rId136" Type="http://schemas.openxmlformats.org/officeDocument/2006/relationships/hyperlink" Target="https://www.sanitary-ceramica.ru/product/sidene_dlya_unitaza_cielo_enjoy_cpvejnewf_bia/" TargetMode="External"/><Relationship Id="rId135" Type="http://schemas.openxmlformats.org/officeDocument/2006/relationships/hyperlink" Target="https://www.sanitary-ceramica.ru/product/unitaz_podvesnoy_cielo_enjoy_ejvsk_bia/" TargetMode="External"/><Relationship Id="rId134" Type="http://schemas.openxmlformats.org/officeDocument/2006/relationships/hyperlink" Target="https://www.sanitary-ceramica.ru/product/unitaz_podvesnoy_cielo_enjoy_ejvsk_bia/" TargetMode="External"/><Relationship Id="rId133" Type="http://schemas.openxmlformats.org/officeDocument/2006/relationships/hyperlink" Target="https://www.mtk-gr.ru/products/sistema-zaschity-ot-protechek-vody-gidrolock-kvartira-160514" TargetMode="External"/><Relationship Id="rId62" Type="http://schemas.openxmlformats.org/officeDocument/2006/relationships/hyperlink" Target="https://styllight.ru/svetilniki/hidden/" TargetMode="External"/><Relationship Id="rId61" Type="http://schemas.openxmlformats.org/officeDocument/2006/relationships/hyperlink" Target="https://www.cosmorelax.ru/catalog/nastennye/nastennyy_svetilnik_el062/" TargetMode="External"/><Relationship Id="rId64" Type="http://schemas.openxmlformats.org/officeDocument/2006/relationships/hyperlink" Target="https://styllight.ru/svetilniki/marshal-f/" TargetMode="External"/><Relationship Id="rId63" Type="http://schemas.openxmlformats.org/officeDocument/2006/relationships/hyperlink" Target="https://styllight.ru/svetilniki/hidden/" TargetMode="External"/><Relationship Id="rId66" Type="http://schemas.openxmlformats.org/officeDocument/2006/relationships/hyperlink" Target="https://thefields.ru/table-lamps/-nowodvorski-nuage-7023/" TargetMode="External"/><Relationship Id="rId172" Type="http://schemas.openxmlformats.org/officeDocument/2006/relationships/hyperlink" Target="https://www.jung.de/ru/862/ls-990/" TargetMode="External"/><Relationship Id="rId65" Type="http://schemas.openxmlformats.org/officeDocument/2006/relationships/hyperlink" Target="https://styllight.ru/svetilniki/marshal-f/" TargetMode="External"/><Relationship Id="rId171" Type="http://schemas.openxmlformats.org/officeDocument/2006/relationships/hyperlink" Target="https://www.kzto.ru/paralleli-v-1-300-52-shag-25" TargetMode="External"/><Relationship Id="rId68" Type="http://schemas.openxmlformats.org/officeDocument/2006/relationships/hyperlink" Target="https://styllight.ru/svetilniki/hidden/" TargetMode="External"/><Relationship Id="rId170" Type="http://schemas.openxmlformats.org/officeDocument/2006/relationships/hyperlink" Target="https://www.kzto.ru/paralleli-v-1-300-90-shag-25" TargetMode="External"/><Relationship Id="rId67" Type="http://schemas.openxmlformats.org/officeDocument/2006/relationships/hyperlink" Target="https://thefields.ru/table-lamps/-nowodvorski-nuage-7023/" TargetMode="External"/><Relationship Id="rId60" Type="http://schemas.openxmlformats.org/officeDocument/2006/relationships/hyperlink" Target="https://www.cosmorelax.ru/catalog/nastennye/nastennyy_svetilnik_el062/" TargetMode="External"/><Relationship Id="rId165" Type="http://schemas.openxmlformats.org/officeDocument/2006/relationships/hyperlink" Target="https://www.technopark.ru/varochnaya-poverhnost-bosch-pvs651fb5e/" TargetMode="External"/><Relationship Id="rId69" Type="http://schemas.openxmlformats.org/officeDocument/2006/relationships/hyperlink" Target="https://styllight.ru/svetilniki/hidden/" TargetMode="External"/><Relationship Id="rId164" Type="http://schemas.openxmlformats.org/officeDocument/2006/relationships/hyperlink" Target="https://www.technopark.ru/vstraivaemye-duhovye-shkafy-bosch-hbf534eb0r/" TargetMode="External"/><Relationship Id="rId163" Type="http://schemas.openxmlformats.org/officeDocument/2006/relationships/hyperlink" Target="https://www.technopark.ru/vstraivaemyy-holodilnik-bosch-kiv-38x20ru/" TargetMode="External"/><Relationship Id="rId162" Type="http://schemas.openxmlformats.org/officeDocument/2006/relationships/hyperlink" Target="https://leicht.com/" TargetMode="External"/><Relationship Id="rId169" Type="http://schemas.openxmlformats.org/officeDocument/2006/relationships/hyperlink" Target="https://www.kzto.ru/paralleli-v-1-300-47-shag-25" TargetMode="External"/><Relationship Id="rId168" Type="http://schemas.openxmlformats.org/officeDocument/2006/relationships/hyperlink" Target="https://www.kzto.ru/paralleli-v-1-300-46-shag-25" TargetMode="External"/><Relationship Id="rId167" Type="http://schemas.openxmlformats.org/officeDocument/2006/relationships/hyperlink" Target="https://www.technopark.ru/vstraivaemaya-vytyazhka-elica-hidden-ixa60/" TargetMode="External"/><Relationship Id="rId166" Type="http://schemas.openxmlformats.org/officeDocument/2006/relationships/hyperlink" Target="https://www.technopark.ru/vstraivaemaya-posudomoechnaya-mashina-bosch-smv-25ax01r/" TargetMode="External"/><Relationship Id="rId51" Type="http://schemas.openxmlformats.org/officeDocument/2006/relationships/hyperlink" Target="https://artzerkal.ru/" TargetMode="External"/><Relationship Id="rId50" Type="http://schemas.openxmlformats.org/officeDocument/2006/relationships/hyperlink" Target="https://artzerkal.ru/" TargetMode="External"/><Relationship Id="rId53" Type="http://schemas.openxmlformats.org/officeDocument/2006/relationships/hyperlink" Target="https://artzerkal.ru/" TargetMode="External"/><Relationship Id="rId52" Type="http://schemas.openxmlformats.org/officeDocument/2006/relationships/hyperlink" Target="https://artzerkal.ru/" TargetMode="External"/><Relationship Id="rId55" Type="http://schemas.openxmlformats.org/officeDocument/2006/relationships/hyperlink" Target="https://styllight.ru/svetilniki/hidden/" TargetMode="External"/><Relationship Id="rId161" Type="http://schemas.openxmlformats.org/officeDocument/2006/relationships/hyperlink" Target="https://msk.shop.aquaphor.ru/reverse-osmosis/dwm-101s.html?utm_medium=cpc&amp;utm_source=google&amp;utm_campaign=api_msk_g_osmos_poisk&amp;gclid=EAIaIQobChMIzoek_7nk8AIVwgCiAx31WwxMEAAYASAAEgI8SfD_BwE" TargetMode="External"/><Relationship Id="rId54" Type="http://schemas.openxmlformats.org/officeDocument/2006/relationships/hyperlink" Target="https://styllight.ru/svetilniki/hidden/" TargetMode="External"/><Relationship Id="rId160" Type="http://schemas.openxmlformats.org/officeDocument/2006/relationships/hyperlink" Target="https://bonecrusher-shop.ru/catalog/bytovye-izmelchiteli-bonecrusher/izmelchitel-pishchevykh-otkhodov-bone-crusher-bc-610-standart.html" TargetMode="External"/><Relationship Id="rId57" Type="http://schemas.openxmlformats.org/officeDocument/2006/relationships/hyperlink" Target="https://styllight.ru/svetilniki/hidden/" TargetMode="External"/><Relationship Id="rId56" Type="http://schemas.openxmlformats.org/officeDocument/2006/relationships/hyperlink" Target="https://styllight.ru/svetilniki/hidden/" TargetMode="External"/><Relationship Id="rId159" Type="http://schemas.openxmlformats.org/officeDocument/2006/relationships/hyperlink" Target="http://www.omoikiri.ru/catalog/dispenser/om-02" TargetMode="External"/><Relationship Id="rId59" Type="http://schemas.openxmlformats.org/officeDocument/2006/relationships/hyperlink" Target="https://thefields.ru/table-lamps/-nowodvorski-nuage-7023/" TargetMode="External"/><Relationship Id="rId154" Type="http://schemas.openxmlformats.org/officeDocument/2006/relationships/hyperlink" Target="https://santehnika-online.ru/product/gigienicheskiy_dush_paffoni_tweet_round_zdup110bo_so_smesitelem_s_vnutrenney_chastyu/" TargetMode="External"/><Relationship Id="rId58" Type="http://schemas.openxmlformats.org/officeDocument/2006/relationships/hyperlink" Target="https://thefields.ru/table-lamps/-nowodvorski-nuage-7023/" TargetMode="External"/><Relationship Id="rId153" Type="http://schemas.openxmlformats.org/officeDocument/2006/relationships/hyperlink" Target="https://santehnika-online.ru/product/polotentsesushitel_vodyanoy_nika_arc_ld_80_50_belyy/?utm_source=google&amp;utm_medium=cpc&amp;utm_campaign=gmc-none-obshchaya-0-kz-none-1525324928&amp;utm_content=v2%7C%7C289611749737%7C%7Cpla-433809275892%7C%7C%7C%7C57068827863%7C%7C1525324928%7C%7C%7C%7Cg%7C%7C%7C%7C%7C%7Cpla%7C%7C8381386%7C%7Conline%7C%7C408563%7C%7CRU%7C%7Cru%7C%7C433809275892%7C%7C%7C%7C%7C%7C%7C%7Cc%7C%7C433809275892%7C%7C9047025%7C%7C1012054%7C%7C&amp;gclid=Cj0KCQjw8vqGBhC_ARIsADMSd1A_-yzPjMqlRlYRfpQPPNBhEuYrsMMfTMhc2sU6GWFxHmWkqk2OSDoaAlbbEALw_wcB" TargetMode="External"/><Relationship Id="rId152" Type="http://schemas.openxmlformats.org/officeDocument/2006/relationships/hyperlink" Target="https://santehnika-online.ru/product/polotentsesushitel_vodyanoy_nika_arc_ld_80_50_belyy/?utm_source=google&amp;utm_medium=cpc&amp;utm_campaign=gmc-none-obshchaya-0-kz-none-1525324928&amp;utm_content=v2%7C%7C289611749737%7C%7Cpla-433809275892%7C%7C%7C%7C57068827863%7C%7C1525324928%7C%7C%7C%7Cg%7C%7C%7C%7C%7C%7Cpla%7C%7C8381386%7C%7Conline%7C%7C408563%7C%7CRU%7C%7Cru%7C%7C433809275892%7C%7C%7C%7C%7C%7C%7C%7Cc%7C%7C433809275892%7C%7C9047025%7C%7C1012054%7C%7C&amp;gclid=Cj0KCQjw8vqGBhC_ARIsADMSd1A_-yzPjMqlRlYRfpQPPNBhEuYrsMMfTMhc2sU6GWFxHmWkqk2OSDoaAlbbEALw_wcB" TargetMode="External"/><Relationship Id="rId151" Type="http://schemas.openxmlformats.org/officeDocument/2006/relationships/hyperlink" Target="https://basicdecor.ru/kryuchok-dvoinoi-bemeta-white-104106034/" TargetMode="External"/><Relationship Id="rId158" Type="http://schemas.openxmlformats.org/officeDocument/2006/relationships/hyperlink" Target="http://www.omoikiri.ru/catalog/mixer/nagano-0" TargetMode="External"/><Relationship Id="rId157" Type="http://schemas.openxmlformats.org/officeDocument/2006/relationships/hyperlink" Target="http://www.omoikiri.ru/catalog/washer/kata-55-2-u" TargetMode="External"/><Relationship Id="rId156" Type="http://schemas.openxmlformats.org/officeDocument/2006/relationships/hyperlink" Target="https://www.instagram.com/stoleshnica_/" TargetMode="External"/><Relationship Id="rId155" Type="http://schemas.openxmlformats.org/officeDocument/2006/relationships/hyperlink" Target="https://santehnika-online.ru/product/gigienicheskiy_dush_paffoni_tweet_round_zdup110bo_so_smesitelem_s_vnutrenney_chastyu/" TargetMode="External"/><Relationship Id="rId107" Type="http://schemas.openxmlformats.org/officeDocument/2006/relationships/hyperlink" Target="https://www.union.ru/product/invisibile-60-6172" TargetMode="External"/><Relationship Id="rId106" Type="http://schemas.openxmlformats.org/officeDocument/2006/relationships/hyperlink" Target="https://www.union.ru/product/invisibile-60-6172" TargetMode="External"/><Relationship Id="rId105" Type="http://schemas.openxmlformats.org/officeDocument/2006/relationships/hyperlink" Target="https://www.union.ru/product/invisibile-60-6172" TargetMode="External"/><Relationship Id="rId226" Type="http://schemas.openxmlformats.org/officeDocument/2006/relationships/table" Target="../tables/table14.xml"/><Relationship Id="rId104" Type="http://schemas.openxmlformats.org/officeDocument/2006/relationships/hyperlink" Target="https://www.union.ru/product/invisibile-60-6172" TargetMode="External"/><Relationship Id="rId225" Type="http://schemas.openxmlformats.org/officeDocument/2006/relationships/table" Target="../tables/table13.xml"/><Relationship Id="rId109" Type="http://schemas.openxmlformats.org/officeDocument/2006/relationships/hyperlink" Target="https://www.union.ru/product/invisibile-60-6172" TargetMode="External"/><Relationship Id="rId108" Type="http://schemas.openxmlformats.org/officeDocument/2006/relationships/hyperlink" Target="https://www.union.ru/product/invisibile-60-6172" TargetMode="External"/><Relationship Id="rId220" Type="http://schemas.openxmlformats.org/officeDocument/2006/relationships/table" Target="../tables/table8.xml"/><Relationship Id="rId103" Type="http://schemas.openxmlformats.org/officeDocument/2006/relationships/hyperlink" Target="https://www.union.ru/product/invisibile-60-6172" TargetMode="External"/><Relationship Id="rId224" Type="http://schemas.openxmlformats.org/officeDocument/2006/relationships/table" Target="../tables/table12.xml"/><Relationship Id="rId102" Type="http://schemas.openxmlformats.org/officeDocument/2006/relationships/hyperlink" Target="https://www.union.ru/product/invisibile-60-6172" TargetMode="External"/><Relationship Id="rId223" Type="http://schemas.openxmlformats.org/officeDocument/2006/relationships/table" Target="../tables/table11.xml"/><Relationship Id="rId101" Type="http://schemas.openxmlformats.org/officeDocument/2006/relationships/hyperlink" Target="https://www.union.ru/product/invisibile-60-6172" TargetMode="External"/><Relationship Id="rId222" Type="http://schemas.openxmlformats.org/officeDocument/2006/relationships/table" Target="../tables/table10.xml"/><Relationship Id="rId100" Type="http://schemas.openxmlformats.org/officeDocument/2006/relationships/hyperlink" Target="https://www.union.ru/product/invisibile-60-6172" TargetMode="External"/><Relationship Id="rId221" Type="http://schemas.openxmlformats.org/officeDocument/2006/relationships/table" Target="../tables/table9.xml"/><Relationship Id="rId217" Type="http://schemas.openxmlformats.org/officeDocument/2006/relationships/table" Target="../tables/table5.xml"/><Relationship Id="rId216" Type="http://schemas.openxmlformats.org/officeDocument/2006/relationships/table" Target="../tables/table4.xml"/><Relationship Id="rId215" Type="http://schemas.openxmlformats.org/officeDocument/2006/relationships/table" Target="../tables/table3.xml"/><Relationship Id="rId214" Type="http://schemas.openxmlformats.org/officeDocument/2006/relationships/table" Target="../tables/table2.xml"/><Relationship Id="rId219" Type="http://schemas.openxmlformats.org/officeDocument/2006/relationships/table" Target="../tables/table7.xml"/><Relationship Id="rId218" Type="http://schemas.openxmlformats.org/officeDocument/2006/relationships/table" Target="../tables/table6.xml"/><Relationship Id="rId213" Type="http://schemas.openxmlformats.org/officeDocument/2006/relationships/table" Target="../tables/table1.xml"/><Relationship Id="rId129" Type="http://schemas.openxmlformats.org/officeDocument/2006/relationships/hyperlink" Target="https://dom-termo.ru/elektro-ten-terma-reg-3-chernii/" TargetMode="External"/><Relationship Id="rId128" Type="http://schemas.openxmlformats.org/officeDocument/2006/relationships/hyperlink" Target="https://dom-termo.ru/elektro-ten-terma-reg-3-chernii/" TargetMode="External"/><Relationship Id="rId127" Type="http://schemas.openxmlformats.org/officeDocument/2006/relationships/hyperlink" Target="https://dom-termo.ru/maskirovochnyy-element-khrom-dlya-terma-meg-moa-black/" TargetMode="External"/><Relationship Id="rId126" Type="http://schemas.openxmlformats.org/officeDocument/2006/relationships/hyperlink" Target="https://dom-termo.ru/maskirovochnyy-element-khrom-dlya-terma-meg-moa-black/" TargetMode="External"/><Relationship Id="rId121" Type="http://schemas.openxmlformats.org/officeDocument/2006/relationships/hyperlink" Target="https://basicdecor.ru/products/757571/" TargetMode="External"/><Relationship Id="rId120" Type="http://schemas.openxmlformats.org/officeDocument/2006/relationships/hyperlink" Target="https://basicdecor.ru/products/757571/" TargetMode="External"/><Relationship Id="rId125" Type="http://schemas.openxmlformats.org/officeDocument/2006/relationships/hyperlink" Target="https://dom-termo.ru/grota-corsa-180-mm-s-kryuchkami-elektro-dizayn-radiatory-s-termoregulyatorom-vybor-razmera/" TargetMode="External"/><Relationship Id="rId124" Type="http://schemas.openxmlformats.org/officeDocument/2006/relationships/hyperlink" Target="https://dom-termo.ru/grota-corsa-180-mm-s-kryuchkami-elektro-dizayn-radiatory-s-termoregulyatorom-vybor-razmera/" TargetMode="External"/><Relationship Id="rId123" Type="http://schemas.openxmlformats.org/officeDocument/2006/relationships/hyperlink" Target="https://basicdecor.ru/products/727764/" TargetMode="External"/><Relationship Id="rId122" Type="http://schemas.openxmlformats.org/officeDocument/2006/relationships/hyperlink" Target="https://basicdecor.ru/products/727764/" TargetMode="External"/><Relationship Id="rId95" Type="http://schemas.openxmlformats.org/officeDocument/2006/relationships/hyperlink" Target="https://www.barcelonadesign.ru/catalog/bra_bez_ridera/bra_odine_chernoe/" TargetMode="External"/><Relationship Id="rId94" Type="http://schemas.openxmlformats.org/officeDocument/2006/relationships/hyperlink" Target="https://www.cosmorelax.ru/catalog/nastennye/nastennyy_svetilnik_el062/" TargetMode="External"/><Relationship Id="rId97" Type="http://schemas.openxmlformats.org/officeDocument/2006/relationships/hyperlink" Target="https://styllight.ru/svetilniki/hidden/" TargetMode="External"/><Relationship Id="rId96" Type="http://schemas.openxmlformats.org/officeDocument/2006/relationships/hyperlink" Target="https://styllight.ru/svetilniki/hidden/" TargetMode="External"/><Relationship Id="rId99" Type="http://schemas.openxmlformats.org/officeDocument/2006/relationships/hyperlink" Target="https://styllight.ru/svetilniki/marshal-f/" TargetMode="External"/><Relationship Id="rId98" Type="http://schemas.openxmlformats.org/officeDocument/2006/relationships/hyperlink" Target="https://styllight.ru/svetilniki/marshal-f/" TargetMode="External"/><Relationship Id="rId91" Type="http://schemas.openxmlformats.org/officeDocument/2006/relationships/hyperlink" Target="https://www.lampatron.ru/cat/item/design-lamps-frigg/" TargetMode="External"/><Relationship Id="rId90" Type="http://schemas.openxmlformats.org/officeDocument/2006/relationships/hyperlink" Target="https://styllight.ru/svetilniki/oriental-bra/" TargetMode="External"/><Relationship Id="rId93" Type="http://schemas.openxmlformats.org/officeDocument/2006/relationships/hyperlink" Target="https://www.barcelonadesign.ru/catalog/bra_reguliruemye/nastennyy_svetilnik_boavista_belyy/" TargetMode="External"/><Relationship Id="rId92" Type="http://schemas.openxmlformats.org/officeDocument/2006/relationships/hyperlink" Target="https://styllight.ru/svetilniki/axxo/" TargetMode="External"/><Relationship Id="rId118" Type="http://schemas.openxmlformats.org/officeDocument/2006/relationships/hyperlink" Target="https://basicdecor.ru/products/727932/" TargetMode="External"/><Relationship Id="rId117" Type="http://schemas.openxmlformats.org/officeDocument/2006/relationships/hyperlink" Target="https://basicdecor.ru/products/742604/" TargetMode="External"/><Relationship Id="rId116" Type="http://schemas.openxmlformats.org/officeDocument/2006/relationships/hyperlink" Target="https://basicdecor.ru/products/742604/" TargetMode="External"/><Relationship Id="rId115" Type="http://schemas.openxmlformats.org/officeDocument/2006/relationships/hyperlink" Target="https://basicdecor.ru/products/332239/" TargetMode="External"/><Relationship Id="rId119" Type="http://schemas.openxmlformats.org/officeDocument/2006/relationships/hyperlink" Target="https://basicdecor.ru/products/727932/" TargetMode="External"/><Relationship Id="rId110" Type="http://schemas.openxmlformats.org/officeDocument/2006/relationships/hyperlink" Target="https://www.union.ru/product/invisibile-60-6172" TargetMode="External"/><Relationship Id="rId114" Type="http://schemas.openxmlformats.org/officeDocument/2006/relationships/hyperlink" Target="https://basicdecor.ru/products/332239/" TargetMode="External"/><Relationship Id="rId113" Type="http://schemas.openxmlformats.org/officeDocument/2006/relationships/hyperlink" Target="https://basicdecor.ru/products/1057739/" TargetMode="External"/><Relationship Id="rId112" Type="http://schemas.openxmlformats.org/officeDocument/2006/relationships/hyperlink" Target="https://basicdecor.ru/products/1057739/" TargetMode="External"/><Relationship Id="rId111" Type="http://schemas.openxmlformats.org/officeDocument/2006/relationships/hyperlink" Target="https://www.union.ru/product/invisibile-60-6172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 fitToPage="1"/>
  </sheetPr>
  <sheetViews>
    <sheetView workbookViewId="0"/>
  </sheetViews>
  <sheetFormatPr customHeight="1" defaultColWidth="11.22" defaultRowHeight="15.0" outlineLevelCol="3" outlineLevelRow="2"/>
  <cols>
    <col customWidth="1" min="1" max="1" width="1.67"/>
    <col customWidth="1" min="2" max="2" width="19.67"/>
    <col customWidth="1" hidden="1" min="3" max="3" width="11.0" outlineLevel="1"/>
    <col collapsed="1" customWidth="1" min="4" max="4" width="10.78"/>
    <col customWidth="1" min="5" max="5" width="34.11"/>
    <col customWidth="1" min="6" max="6" width="11.89"/>
    <col customWidth="1" hidden="1" min="7" max="7" width="14.22" outlineLevel="1"/>
    <col customWidth="1" hidden="1" min="8" max="8" width="12.89" outlineLevel="2"/>
    <col customWidth="1" hidden="1" min="9" max="10" width="12.44" outlineLevel="2"/>
    <col collapsed="1" customWidth="1" hidden="1" min="11" max="11" width="10.11" outlineLevel="1"/>
    <col customWidth="1" hidden="1" min="12" max="12" width="8.44" outlineLevel="1"/>
    <col customWidth="1" hidden="1" min="13" max="14" width="8.44" outlineLevel="2"/>
    <col customWidth="1" hidden="1" min="15" max="15" width="12.78" outlineLevel="3"/>
    <col customWidth="1" hidden="1" min="16" max="16" width="12.33" outlineLevel="3"/>
    <col collapsed="1" customWidth="1" hidden="1" min="17" max="17" width="15.78" outlineLevel="1"/>
    <col customWidth="1" hidden="1" min="18" max="18" width="15.78" outlineLevel="1"/>
    <col collapsed="1" customWidth="1" min="19" max="19" width="8.11"/>
    <col customWidth="1" min="20" max="20" width="8.33"/>
    <col customWidth="1" min="21" max="21" width="10.67"/>
    <col customWidth="1" min="22" max="23" width="12.33"/>
    <col customWidth="1" min="24" max="24" width="8.22"/>
    <col customWidth="1" min="25" max="25" width="9.89"/>
    <col customWidth="1" min="26" max="26" width="12.89"/>
    <col customWidth="1" min="27" max="27" width="8.56"/>
    <col customWidth="1" min="28" max="28" width="13.56"/>
    <col customWidth="1" hidden="1" min="29" max="29" width="12.33" outlineLevel="1"/>
    <col customWidth="1" hidden="1" min="30" max="30" width="13.67" outlineLevel="1"/>
    <col customWidth="1" hidden="1" min="31" max="31" width="10.0" outlineLevel="1"/>
    <col customWidth="1" hidden="1" min="32" max="32" width="10.89" outlineLevel="1"/>
    <col collapsed="1" customWidth="1" min="33" max="33" width="8.56"/>
    <col customWidth="1" min="34" max="34" width="13.33"/>
  </cols>
  <sheetData>
    <row r="1" ht="101.25" customHeight="1">
      <c r="A1" s="1"/>
      <c r="B1" s="2" t="s">
        <v>0</v>
      </c>
      <c r="H1" s="3"/>
      <c r="I1" s="3"/>
      <c r="J1" s="3"/>
      <c r="K1" s="3"/>
      <c r="L1" s="3"/>
      <c r="M1" s="3"/>
      <c r="N1" s="3"/>
      <c r="O1" s="3"/>
      <c r="P1" s="4"/>
      <c r="Q1" s="5"/>
      <c r="R1" s="5"/>
      <c r="S1" s="6"/>
      <c r="T1" s="6"/>
      <c r="U1" s="6"/>
      <c r="V1" s="6"/>
      <c r="W1" s="6"/>
      <c r="X1" s="7"/>
      <c r="Y1" s="6"/>
      <c r="Z1" s="8"/>
      <c r="AA1" s="9"/>
      <c r="AB1" s="10"/>
      <c r="AC1" s="11"/>
      <c r="AD1" s="12"/>
      <c r="AE1" s="12"/>
      <c r="AF1" s="12"/>
      <c r="AG1" s="10"/>
      <c r="AH1" s="10"/>
    </row>
    <row r="2" ht="28.5" customHeight="1">
      <c r="A2" s="13"/>
      <c r="B2" s="14" t="s">
        <v>1</v>
      </c>
      <c r="H2" s="15"/>
      <c r="I2" s="15"/>
      <c r="J2" s="15"/>
      <c r="K2" s="15"/>
      <c r="L2" s="15"/>
      <c r="M2" s="15"/>
      <c r="N2" s="15"/>
      <c r="O2" s="15"/>
      <c r="P2" s="16"/>
      <c r="Q2" s="17"/>
      <c r="R2" s="17"/>
      <c r="S2" s="18"/>
      <c r="T2" s="18"/>
      <c r="U2" s="18"/>
      <c r="V2" s="18"/>
      <c r="W2" s="18"/>
      <c r="X2" s="19"/>
      <c r="Y2" s="18"/>
      <c r="Z2" s="8"/>
      <c r="AA2" s="9"/>
      <c r="AB2" s="20"/>
      <c r="AC2" s="21"/>
      <c r="AD2" s="22"/>
      <c r="AE2" s="22"/>
      <c r="AF2" s="22"/>
      <c r="AG2" s="11"/>
      <c r="AH2" s="11"/>
    </row>
    <row r="3">
      <c r="A3" s="23"/>
      <c r="B3" s="24"/>
      <c r="H3" s="25"/>
      <c r="I3" s="26"/>
      <c r="J3" s="24"/>
      <c r="K3" s="27"/>
      <c r="L3" s="10"/>
      <c r="M3" s="10"/>
      <c r="N3" s="10"/>
      <c r="O3" s="10"/>
      <c r="P3" s="28"/>
      <c r="Q3" s="29"/>
      <c r="R3" s="29"/>
      <c r="S3" s="30"/>
      <c r="T3" s="30"/>
      <c r="U3" s="30"/>
      <c r="V3" s="30"/>
      <c r="W3" s="30"/>
      <c r="X3" s="31"/>
      <c r="Y3" s="30"/>
      <c r="Z3" s="27"/>
      <c r="AA3" s="32"/>
      <c r="AB3" s="33"/>
      <c r="AC3" s="10"/>
      <c r="AD3" s="10"/>
      <c r="AE3" s="10"/>
      <c r="AF3" s="10"/>
      <c r="AG3" s="33"/>
      <c r="AH3" s="33"/>
    </row>
    <row r="4" ht="54.75" customHeight="1">
      <c r="A4" s="34"/>
      <c r="B4" s="35" t="s">
        <v>2</v>
      </c>
      <c r="C4" s="35" t="s">
        <v>3</v>
      </c>
      <c r="D4" s="36" t="s">
        <v>4</v>
      </c>
      <c r="E4" s="36" t="s">
        <v>5</v>
      </c>
      <c r="F4" s="36" t="s">
        <v>6</v>
      </c>
      <c r="G4" s="36" t="s">
        <v>7</v>
      </c>
      <c r="H4" s="36" t="s">
        <v>8</v>
      </c>
      <c r="I4" s="36" t="s">
        <v>9</v>
      </c>
      <c r="J4" s="35" t="s">
        <v>10</v>
      </c>
      <c r="K4" s="35" t="s">
        <v>11</v>
      </c>
      <c r="L4" s="37" t="s">
        <v>12</v>
      </c>
      <c r="M4" s="38" t="s">
        <v>13</v>
      </c>
      <c r="N4" s="39"/>
      <c r="O4" s="38" t="s">
        <v>14</v>
      </c>
      <c r="P4" s="39"/>
      <c r="Q4" s="40" t="s">
        <v>15</v>
      </c>
      <c r="R4" s="40" t="s">
        <v>16</v>
      </c>
      <c r="S4" s="41" t="s">
        <v>17</v>
      </c>
      <c r="T4" s="41" t="s">
        <v>18</v>
      </c>
      <c r="U4" s="41" t="s">
        <v>19</v>
      </c>
      <c r="V4" s="41" t="s">
        <v>20</v>
      </c>
      <c r="W4" s="42" t="s">
        <v>21</v>
      </c>
      <c r="X4" s="40" t="s">
        <v>22</v>
      </c>
      <c r="Y4" s="42" t="s">
        <v>23</v>
      </c>
      <c r="Z4" s="35" t="s">
        <v>24</v>
      </c>
      <c r="AA4" s="35" t="s">
        <v>25</v>
      </c>
      <c r="AB4" s="37" t="s">
        <v>26</v>
      </c>
      <c r="AC4" s="43" t="s">
        <v>27</v>
      </c>
      <c r="AD4" s="43" t="s">
        <v>28</v>
      </c>
      <c r="AE4" s="43" t="s">
        <v>29</v>
      </c>
      <c r="AF4" s="43" t="s">
        <v>30</v>
      </c>
      <c r="AG4" s="37" t="s">
        <v>31</v>
      </c>
      <c r="AH4" s="37" t="s">
        <v>32</v>
      </c>
    </row>
    <row r="5" ht="46.5" customHeight="1">
      <c r="A5" s="34"/>
      <c r="B5" s="35"/>
      <c r="C5" s="44" t="s">
        <v>33</v>
      </c>
      <c r="D5" s="36" t="s">
        <v>33</v>
      </c>
      <c r="E5" s="36"/>
      <c r="F5" s="36" t="s">
        <v>34</v>
      </c>
      <c r="G5" s="45" t="s">
        <v>34</v>
      </c>
      <c r="H5" s="36"/>
      <c r="I5" s="46"/>
      <c r="J5" s="47"/>
      <c r="K5" s="35"/>
      <c r="L5" s="48" t="s">
        <v>35</v>
      </c>
      <c r="M5" s="49" t="s">
        <v>36</v>
      </c>
      <c r="N5" s="50" t="s">
        <v>37</v>
      </c>
      <c r="O5" s="49" t="s">
        <v>38</v>
      </c>
      <c r="P5" s="51" t="s">
        <v>39</v>
      </c>
      <c r="Q5" s="52" t="s">
        <v>40</v>
      </c>
      <c r="R5" s="40"/>
      <c r="S5" s="53"/>
      <c r="T5" s="54" t="s">
        <v>35</v>
      </c>
      <c r="U5" s="54" t="s">
        <v>40</v>
      </c>
      <c r="V5" s="53"/>
      <c r="W5" s="42"/>
      <c r="X5" s="40"/>
      <c r="Y5" s="42"/>
      <c r="Z5" s="35"/>
      <c r="AA5" s="44" t="s">
        <v>41</v>
      </c>
      <c r="AB5" s="37"/>
      <c r="AC5" s="43" t="s">
        <v>27</v>
      </c>
      <c r="AD5" s="43" t="s">
        <v>28</v>
      </c>
      <c r="AE5" s="43" t="s">
        <v>29</v>
      </c>
      <c r="AF5" s="43" t="s">
        <v>30</v>
      </c>
      <c r="AG5" s="44" t="s">
        <v>42</v>
      </c>
      <c r="AH5" s="55">
        <v>0.1</v>
      </c>
    </row>
    <row r="6" ht="47.25" customHeight="1" collapsed="1">
      <c r="A6" s="56"/>
      <c r="B6" s="56"/>
      <c r="C6" s="57"/>
      <c r="D6" s="58"/>
      <c r="E6" s="58" t="s">
        <v>43</v>
      </c>
      <c r="F6" s="58"/>
      <c r="G6" s="59"/>
      <c r="H6" s="60"/>
      <c r="I6" s="60"/>
      <c r="J6" s="60"/>
      <c r="K6" s="61"/>
      <c r="L6" s="62"/>
      <c r="M6" s="63"/>
      <c r="N6" s="64"/>
      <c r="O6" s="65"/>
      <c r="P6" s="66"/>
      <c r="Q6" s="67"/>
      <c r="R6" s="67"/>
      <c r="S6" s="68"/>
      <c r="T6" s="68"/>
      <c r="U6" s="69"/>
      <c r="V6" s="69"/>
      <c r="W6" s="70"/>
      <c r="X6" s="61"/>
      <c r="Y6" s="70"/>
      <c r="Z6" s="62">
        <f>sumif($Q7:$Q18,"Основа",Z7:Z18)</f>
        <v>805944.87</v>
      </c>
      <c r="AA6" s="71"/>
      <c r="AB6" s="62">
        <f>sumif($Q7:$Q18,"Основа",AB7:AB18)</f>
        <v>754802.8795</v>
      </c>
      <c r="AC6" s="72"/>
      <c r="AD6" s="73"/>
      <c r="AE6" s="73"/>
      <c r="AF6" s="73"/>
      <c r="AG6" s="62"/>
      <c r="AH6" s="62">
        <f>sumif($Q7:$Q18,"Основа",AH7:AH18)</f>
        <v>74480.28795</v>
      </c>
    </row>
    <row r="7" ht="45.0" hidden="1" customHeight="1" outlineLevel="1">
      <c r="A7" s="13"/>
      <c r="B7" s="74" t="s">
        <v>44</v>
      </c>
      <c r="C7" s="27" t="s">
        <v>45</v>
      </c>
      <c r="D7" s="74"/>
      <c r="E7" s="74" t="s">
        <v>46</v>
      </c>
      <c r="F7" s="74"/>
      <c r="G7" s="75" t="s">
        <v>47</v>
      </c>
      <c r="H7" s="76"/>
      <c r="I7" s="76"/>
      <c r="J7" s="27"/>
      <c r="K7" s="33" t="s">
        <v>48</v>
      </c>
      <c r="L7" s="10">
        <f>3.92</f>
        <v>3.92</v>
      </c>
      <c r="M7" s="77">
        <v>0.15</v>
      </c>
      <c r="N7" s="78">
        <f t="shared" ref="N7:N9" si="1">L7+L7*M7</f>
        <v>4.508</v>
      </c>
      <c r="O7" s="65"/>
      <c r="P7" s="66"/>
      <c r="Q7" s="79" t="s">
        <v>49</v>
      </c>
      <c r="R7" s="79" t="s">
        <v>50</v>
      </c>
      <c r="S7" s="80" t="s">
        <v>48</v>
      </c>
      <c r="T7" s="80">
        <v>3.92</v>
      </c>
      <c r="U7" s="81" t="s">
        <v>49</v>
      </c>
      <c r="V7" s="81" t="s">
        <v>50</v>
      </c>
      <c r="W7" s="82">
        <v>1700.0</v>
      </c>
      <c r="X7" s="83" t="s">
        <v>51</v>
      </c>
      <c r="Y7" s="84">
        <f t="shared" ref="Y7:Y16" si="2">IFERROR(IF(X7="RUB",W7, IF(AND(W7="",X7=""),0,W7*INDIRECT(X7))),"Выберите валюту")</f>
        <v>1700</v>
      </c>
      <c r="Z7" s="85">
        <f t="shared" ref="Z7:Z9" si="3">Y7*N7</f>
        <v>7663.6</v>
      </c>
      <c r="AA7" s="86">
        <v>0.15</v>
      </c>
      <c r="AB7" s="85">
        <f t="shared" ref="AB7:AB18" si="4">Z7-Z7*AA7</f>
        <v>6514.06</v>
      </c>
      <c r="AC7" s="33"/>
      <c r="AD7" s="87"/>
      <c r="AE7" s="88"/>
      <c r="AF7" s="87"/>
      <c r="AG7" s="89">
        <v>0.1</v>
      </c>
      <c r="AH7" s="10">
        <f t="shared" ref="AH7:AH17" si="5">AB7*0.1</f>
        <v>651.406</v>
      </c>
    </row>
    <row r="8" ht="26.25" hidden="1" customHeight="1" outlineLevel="1">
      <c r="A8" s="13"/>
      <c r="B8" s="74" t="s">
        <v>52</v>
      </c>
      <c r="C8" s="27" t="s">
        <v>53</v>
      </c>
      <c r="D8" s="74"/>
      <c r="E8" s="74" t="s">
        <v>54</v>
      </c>
      <c r="F8" s="74"/>
      <c r="G8" s="75" t="s">
        <v>55</v>
      </c>
      <c r="H8" s="76"/>
      <c r="I8" s="76"/>
      <c r="J8" s="76"/>
      <c r="K8" s="33" t="s">
        <v>48</v>
      </c>
      <c r="L8" s="10">
        <f>2.15</f>
        <v>2.15</v>
      </c>
      <c r="M8" s="77">
        <v>0.15</v>
      </c>
      <c r="N8" s="78">
        <f t="shared" si="1"/>
        <v>2.4725</v>
      </c>
      <c r="O8" s="65"/>
      <c r="P8" s="66"/>
      <c r="Q8" s="79" t="s">
        <v>49</v>
      </c>
      <c r="R8" s="79" t="s">
        <v>50</v>
      </c>
      <c r="S8" s="90" t="s">
        <v>48</v>
      </c>
      <c r="T8" s="90">
        <v>2.15</v>
      </c>
      <c r="U8" s="91" t="s">
        <v>49</v>
      </c>
      <c r="V8" s="91" t="s">
        <v>50</v>
      </c>
      <c r="W8" s="33">
        <v>2525.0</v>
      </c>
      <c r="X8" s="31" t="s">
        <v>51</v>
      </c>
      <c r="Y8" s="84">
        <f t="shared" si="2"/>
        <v>2525</v>
      </c>
      <c r="Z8" s="85">
        <f t="shared" si="3"/>
        <v>6243.0625</v>
      </c>
      <c r="AA8" s="86">
        <v>0.15</v>
      </c>
      <c r="AB8" s="85">
        <f t="shared" si="4"/>
        <v>5306.603125</v>
      </c>
      <c r="AC8" s="33"/>
      <c r="AD8" s="87"/>
      <c r="AE8" s="88"/>
      <c r="AF8" s="87"/>
      <c r="AG8" s="89">
        <v>0.1</v>
      </c>
      <c r="AH8" s="10">
        <f t="shared" si="5"/>
        <v>530.6603125</v>
      </c>
    </row>
    <row r="9" ht="26.25" hidden="1" customHeight="1" outlineLevel="1">
      <c r="A9" s="13" t="str">
        <f>if(left(E9,11)="Общая сумма","Подитог","")</f>
        <v/>
      </c>
      <c r="B9" s="74" t="s">
        <v>56</v>
      </c>
      <c r="C9" s="27" t="s">
        <v>57</v>
      </c>
      <c r="D9" s="74"/>
      <c r="E9" s="74" t="s">
        <v>58</v>
      </c>
      <c r="F9" s="74"/>
      <c r="G9" s="75" t="s">
        <v>59</v>
      </c>
      <c r="H9" s="27"/>
      <c r="I9" s="27"/>
      <c r="J9" s="27"/>
      <c r="K9" s="33" t="s">
        <v>48</v>
      </c>
      <c r="L9" s="10">
        <f>5.45</f>
        <v>5.45</v>
      </c>
      <c r="M9" s="77">
        <v>0.15</v>
      </c>
      <c r="N9" s="78">
        <f t="shared" si="1"/>
        <v>6.2675</v>
      </c>
      <c r="O9" s="65"/>
      <c r="P9" s="66"/>
      <c r="Q9" s="79" t="s">
        <v>49</v>
      </c>
      <c r="R9" s="79" t="s">
        <v>50</v>
      </c>
      <c r="S9" s="90" t="s">
        <v>48</v>
      </c>
      <c r="T9" s="90">
        <v>5.45</v>
      </c>
      <c r="U9" s="91" t="s">
        <v>49</v>
      </c>
      <c r="V9" s="91" t="s">
        <v>50</v>
      </c>
      <c r="W9" s="33">
        <v>2525.0</v>
      </c>
      <c r="X9" s="31" t="s">
        <v>51</v>
      </c>
      <c r="Y9" s="84">
        <f t="shared" si="2"/>
        <v>2525</v>
      </c>
      <c r="Z9" s="85">
        <f t="shared" si="3"/>
        <v>15825.4375</v>
      </c>
      <c r="AA9" s="86">
        <v>0.15</v>
      </c>
      <c r="AB9" s="85">
        <f t="shared" si="4"/>
        <v>13451.62188</v>
      </c>
      <c r="AC9" s="12"/>
      <c r="AD9" s="12"/>
      <c r="AE9" s="92"/>
      <c r="AF9" s="92"/>
      <c r="AG9" s="89">
        <v>0.1</v>
      </c>
      <c r="AH9" s="10">
        <f t="shared" si="5"/>
        <v>1345.162188</v>
      </c>
    </row>
    <row r="10" ht="26.25" hidden="1" customHeight="1" outlineLevel="1">
      <c r="A10" s="13"/>
      <c r="B10" s="74" t="s">
        <v>56</v>
      </c>
      <c r="C10" s="27" t="s">
        <v>60</v>
      </c>
      <c r="D10" s="2"/>
      <c r="E10" s="2" t="s">
        <v>61</v>
      </c>
      <c r="F10" s="2"/>
      <c r="G10" s="75" t="s">
        <v>62</v>
      </c>
      <c r="H10" s="27"/>
      <c r="I10" s="27"/>
      <c r="J10" s="27"/>
      <c r="K10" s="33" t="s">
        <v>48</v>
      </c>
      <c r="L10" s="33">
        <v>20.7</v>
      </c>
      <c r="M10" s="77"/>
      <c r="N10" s="78"/>
      <c r="O10" s="65"/>
      <c r="P10" s="66"/>
      <c r="Q10" s="79" t="s">
        <v>49</v>
      </c>
      <c r="R10" s="79" t="s">
        <v>50</v>
      </c>
      <c r="S10" s="90" t="s">
        <v>48</v>
      </c>
      <c r="T10" s="90">
        <v>20.7</v>
      </c>
      <c r="U10" s="91" t="s">
        <v>49</v>
      </c>
      <c r="V10" s="91" t="s">
        <v>50</v>
      </c>
      <c r="W10" s="33">
        <v>2310.0</v>
      </c>
      <c r="X10" s="31" t="s">
        <v>51</v>
      </c>
      <c r="Y10" s="84">
        <f t="shared" si="2"/>
        <v>2310</v>
      </c>
      <c r="Z10" s="85">
        <f>L10*W10</f>
        <v>47817</v>
      </c>
      <c r="AA10" s="86">
        <v>0.15</v>
      </c>
      <c r="AB10" s="85">
        <f t="shared" si="4"/>
        <v>40644.45</v>
      </c>
      <c r="AC10" s="12"/>
      <c r="AD10" s="12"/>
      <c r="AE10" s="92"/>
      <c r="AF10" s="92"/>
      <c r="AG10" s="89">
        <v>0.1</v>
      </c>
      <c r="AH10" s="10">
        <f t="shared" si="5"/>
        <v>4064.445</v>
      </c>
    </row>
    <row r="11" ht="26.25" hidden="1" customHeight="1" outlineLevel="1">
      <c r="A11" s="13" t="str">
        <f>if(left(E11,11)="Общая сумма","Подитог","")</f>
        <v/>
      </c>
      <c r="B11" s="74" t="s">
        <v>52</v>
      </c>
      <c r="C11" s="27" t="s">
        <v>63</v>
      </c>
      <c r="D11" s="2"/>
      <c r="E11" s="2" t="s">
        <v>64</v>
      </c>
      <c r="F11" s="2"/>
      <c r="G11" s="75" t="s">
        <v>55</v>
      </c>
      <c r="H11" s="93"/>
      <c r="I11" s="94"/>
      <c r="J11" s="27"/>
      <c r="K11" s="33" t="s">
        <v>48</v>
      </c>
      <c r="L11" s="10">
        <f>(2.46+2.65+1.07+0.62+1.13)</f>
        <v>7.93</v>
      </c>
      <c r="M11" s="77">
        <v>0.15</v>
      </c>
      <c r="N11" s="78">
        <f t="shared" ref="N11:N15" si="6">L11+L11*M11</f>
        <v>9.1195</v>
      </c>
      <c r="O11" s="65"/>
      <c r="P11" s="66"/>
      <c r="Q11" s="79" t="s">
        <v>49</v>
      </c>
      <c r="R11" s="79" t="s">
        <v>50</v>
      </c>
      <c r="S11" s="90" t="s">
        <v>48</v>
      </c>
      <c r="T11" s="90">
        <v>7.93</v>
      </c>
      <c r="U11" s="91" t="s">
        <v>49</v>
      </c>
      <c r="V11" s="91" t="s">
        <v>50</v>
      </c>
      <c r="W11" s="33">
        <v>2525.0</v>
      </c>
      <c r="X11" s="31" t="s">
        <v>51</v>
      </c>
      <c r="Y11" s="84">
        <f t="shared" si="2"/>
        <v>2525</v>
      </c>
      <c r="Z11" s="85">
        <f t="shared" ref="Z11:Z17" si="7">Y11*N11</f>
        <v>23026.7375</v>
      </c>
      <c r="AA11" s="86">
        <v>0.15</v>
      </c>
      <c r="AB11" s="85">
        <f t="shared" si="4"/>
        <v>19572.72688</v>
      </c>
      <c r="AC11" s="33"/>
      <c r="AD11" s="12"/>
      <c r="AE11" s="12"/>
      <c r="AF11" s="12"/>
      <c r="AG11" s="89">
        <v>0.1</v>
      </c>
      <c r="AH11" s="10">
        <f t="shared" si="5"/>
        <v>1957.272688</v>
      </c>
    </row>
    <row r="12" ht="26.25" hidden="1" customHeight="1" outlineLevel="1">
      <c r="A12" s="13"/>
      <c r="B12" s="74" t="s">
        <v>52</v>
      </c>
      <c r="C12" s="27" t="s">
        <v>65</v>
      </c>
      <c r="D12" s="2"/>
      <c r="E12" s="2" t="s">
        <v>66</v>
      </c>
      <c r="F12" s="2"/>
      <c r="G12" s="75" t="s">
        <v>67</v>
      </c>
      <c r="H12" s="93"/>
      <c r="I12" s="94"/>
      <c r="J12" s="27"/>
      <c r="K12" s="33" t="s">
        <v>48</v>
      </c>
      <c r="L12" s="10">
        <f>(3.23+2.34+2.42)</f>
        <v>7.99</v>
      </c>
      <c r="M12" s="77">
        <v>0.15</v>
      </c>
      <c r="N12" s="78">
        <f t="shared" si="6"/>
        <v>9.1885</v>
      </c>
      <c r="O12" s="65"/>
      <c r="P12" s="66"/>
      <c r="Q12" s="79" t="s">
        <v>49</v>
      </c>
      <c r="R12" s="79" t="s">
        <v>50</v>
      </c>
      <c r="S12" s="95" t="s">
        <v>48</v>
      </c>
      <c r="T12" s="95">
        <v>7.99</v>
      </c>
      <c r="U12" s="96" t="s">
        <v>49</v>
      </c>
      <c r="V12" s="96" t="s">
        <v>50</v>
      </c>
      <c r="W12" s="30">
        <v>1945.0</v>
      </c>
      <c r="X12" s="31" t="s">
        <v>51</v>
      </c>
      <c r="Y12" s="84">
        <f t="shared" si="2"/>
        <v>1945</v>
      </c>
      <c r="Z12" s="85">
        <f t="shared" si="7"/>
        <v>17871.6325</v>
      </c>
      <c r="AA12" s="86">
        <v>0.15</v>
      </c>
      <c r="AB12" s="85">
        <f t="shared" si="4"/>
        <v>15190.88763</v>
      </c>
      <c r="AC12" s="33"/>
      <c r="AD12" s="12"/>
      <c r="AE12" s="12"/>
      <c r="AF12" s="12"/>
      <c r="AG12" s="89">
        <v>0.1</v>
      </c>
      <c r="AH12" s="10">
        <f t="shared" si="5"/>
        <v>1519.088763</v>
      </c>
    </row>
    <row r="13" ht="36.75" hidden="1" customHeight="1" outlineLevel="1">
      <c r="A13" s="13"/>
      <c r="B13" s="74" t="s">
        <v>52</v>
      </c>
      <c r="C13" s="27" t="s">
        <v>68</v>
      </c>
      <c r="D13" s="2"/>
      <c r="E13" s="2" t="s">
        <v>69</v>
      </c>
      <c r="F13" s="2"/>
      <c r="G13" s="75" t="s">
        <v>70</v>
      </c>
      <c r="H13" s="93"/>
      <c r="I13" s="94"/>
      <c r="J13" s="97" t="s">
        <v>71</v>
      </c>
      <c r="K13" s="33" t="s">
        <v>48</v>
      </c>
      <c r="L13" s="33">
        <v>1.68</v>
      </c>
      <c r="M13" s="77">
        <v>0.15</v>
      </c>
      <c r="N13" s="78">
        <f t="shared" si="6"/>
        <v>1.932</v>
      </c>
      <c r="O13" s="65"/>
      <c r="P13" s="66"/>
      <c r="Q13" s="79" t="s">
        <v>49</v>
      </c>
      <c r="R13" s="29" t="s">
        <v>72</v>
      </c>
      <c r="S13" s="95" t="s">
        <v>48</v>
      </c>
      <c r="T13" s="95">
        <v>1.68</v>
      </c>
      <c r="U13" s="96" t="s">
        <v>49</v>
      </c>
      <c r="V13" s="96" t="s">
        <v>72</v>
      </c>
      <c r="W13" s="30">
        <v>4200.0</v>
      </c>
      <c r="X13" s="31" t="s">
        <v>51</v>
      </c>
      <c r="Y13" s="84">
        <f t="shared" si="2"/>
        <v>4200</v>
      </c>
      <c r="Z13" s="85">
        <f t="shared" si="7"/>
        <v>8114.4</v>
      </c>
      <c r="AA13" s="86">
        <v>0.05</v>
      </c>
      <c r="AB13" s="85">
        <f t="shared" si="4"/>
        <v>7708.68</v>
      </c>
      <c r="AC13" s="33"/>
      <c r="AD13" s="12"/>
      <c r="AE13" s="12"/>
      <c r="AF13" s="12"/>
      <c r="AG13" s="10"/>
      <c r="AH13" s="10">
        <f t="shared" si="5"/>
        <v>770.868</v>
      </c>
    </row>
    <row r="14" ht="36.75" hidden="1" customHeight="1" outlineLevel="1">
      <c r="A14" s="13"/>
      <c r="B14" s="74" t="s">
        <v>44</v>
      </c>
      <c r="C14" s="27" t="s">
        <v>73</v>
      </c>
      <c r="D14" s="74"/>
      <c r="E14" s="74" t="s">
        <v>69</v>
      </c>
      <c r="F14" s="74"/>
      <c r="G14" s="75" t="s">
        <v>70</v>
      </c>
      <c r="H14" s="93"/>
      <c r="I14" s="94"/>
      <c r="J14" s="97" t="s">
        <v>71</v>
      </c>
      <c r="K14" s="33" t="s">
        <v>48</v>
      </c>
      <c r="L14" s="10">
        <f>(5.83+9.73+10.3+6.69)</f>
        <v>32.55</v>
      </c>
      <c r="M14" s="77">
        <v>0.15</v>
      </c>
      <c r="N14" s="78">
        <f t="shared" si="6"/>
        <v>37.4325</v>
      </c>
      <c r="O14" s="98"/>
      <c r="P14" s="99"/>
      <c r="Q14" s="79" t="s">
        <v>49</v>
      </c>
      <c r="R14" s="29" t="s">
        <v>72</v>
      </c>
      <c r="S14" s="95" t="s">
        <v>48</v>
      </c>
      <c r="T14" s="95">
        <v>32.55</v>
      </c>
      <c r="U14" s="96" t="s">
        <v>49</v>
      </c>
      <c r="V14" s="96" t="s">
        <v>72</v>
      </c>
      <c r="W14" s="30">
        <v>4200.0</v>
      </c>
      <c r="X14" s="31" t="s">
        <v>51</v>
      </c>
      <c r="Y14" s="100">
        <f t="shared" si="2"/>
        <v>4200</v>
      </c>
      <c r="Z14" s="85">
        <f t="shared" si="7"/>
        <v>157216.5</v>
      </c>
      <c r="AA14" s="86">
        <v>0.05</v>
      </c>
      <c r="AB14" s="85">
        <f t="shared" si="4"/>
        <v>149355.675</v>
      </c>
      <c r="AC14" s="33"/>
      <c r="AD14" s="12"/>
      <c r="AE14" s="12"/>
      <c r="AF14" s="12"/>
      <c r="AG14" s="10"/>
      <c r="AH14" s="10">
        <f t="shared" si="5"/>
        <v>14935.5675</v>
      </c>
    </row>
    <row r="15" ht="36.75" hidden="1" customHeight="1" outlineLevel="1">
      <c r="A15" s="13"/>
      <c r="B15" s="74" t="s">
        <v>74</v>
      </c>
      <c r="C15" s="27" t="s">
        <v>75</v>
      </c>
      <c r="D15" s="74"/>
      <c r="E15" s="74" t="s">
        <v>69</v>
      </c>
      <c r="F15" s="74"/>
      <c r="G15" s="75" t="s">
        <v>70</v>
      </c>
      <c r="H15" s="93"/>
      <c r="I15" s="94"/>
      <c r="J15" s="97" t="s">
        <v>71</v>
      </c>
      <c r="K15" s="33" t="s">
        <v>48</v>
      </c>
      <c r="L15" s="10">
        <f>(4.12+14.61+11.2+10.12)</f>
        <v>40.05</v>
      </c>
      <c r="M15" s="77">
        <v>0.15</v>
      </c>
      <c r="N15" s="78">
        <f t="shared" si="6"/>
        <v>46.0575</v>
      </c>
      <c r="O15" s="98"/>
      <c r="P15" s="99"/>
      <c r="Q15" s="79" t="s">
        <v>49</v>
      </c>
      <c r="R15" s="29" t="s">
        <v>72</v>
      </c>
      <c r="S15" s="95" t="s">
        <v>48</v>
      </c>
      <c r="T15" s="95">
        <v>40.05</v>
      </c>
      <c r="U15" s="96" t="s">
        <v>49</v>
      </c>
      <c r="V15" s="96" t="s">
        <v>72</v>
      </c>
      <c r="W15" s="30">
        <v>4200.0</v>
      </c>
      <c r="X15" s="31" t="s">
        <v>51</v>
      </c>
      <c r="Y15" s="100">
        <f t="shared" si="2"/>
        <v>4200</v>
      </c>
      <c r="Z15" s="85">
        <f t="shared" si="7"/>
        <v>193441.5</v>
      </c>
      <c r="AA15" s="86">
        <v>0.05</v>
      </c>
      <c r="AB15" s="85">
        <f t="shared" si="4"/>
        <v>183769.425</v>
      </c>
      <c r="AC15" s="33"/>
      <c r="AD15" s="12"/>
      <c r="AE15" s="12"/>
      <c r="AF15" s="12"/>
      <c r="AG15" s="10"/>
      <c r="AH15" s="10">
        <f t="shared" si="5"/>
        <v>18376.9425</v>
      </c>
    </row>
    <row r="16" ht="27.0" hidden="1" customHeight="1" outlineLevel="1">
      <c r="A16" s="13"/>
      <c r="B16" s="74"/>
      <c r="C16" s="27" t="s">
        <v>76</v>
      </c>
      <c r="D16" s="74"/>
      <c r="E16" s="74" t="s">
        <v>77</v>
      </c>
      <c r="F16" s="74"/>
      <c r="G16" s="75" t="s">
        <v>70</v>
      </c>
      <c r="H16" s="93"/>
      <c r="I16" s="94"/>
      <c r="J16" s="97"/>
      <c r="K16" s="33" t="s">
        <v>48</v>
      </c>
      <c r="L16" s="10">
        <f>L14+L15</f>
        <v>72.6</v>
      </c>
      <c r="M16" s="77">
        <v>0.15</v>
      </c>
      <c r="N16" s="78">
        <f>N14+N15</f>
        <v>83.49</v>
      </c>
      <c r="O16" s="98"/>
      <c r="P16" s="99"/>
      <c r="Q16" s="79" t="s">
        <v>49</v>
      </c>
      <c r="R16" s="29" t="s">
        <v>78</v>
      </c>
      <c r="S16" s="95" t="s">
        <v>48</v>
      </c>
      <c r="T16" s="95">
        <v>72.6</v>
      </c>
      <c r="U16" s="96" t="s">
        <v>49</v>
      </c>
      <c r="V16" s="96" t="s">
        <v>78</v>
      </c>
      <c r="W16" s="30">
        <v>2500.0</v>
      </c>
      <c r="X16" s="31" t="s">
        <v>51</v>
      </c>
      <c r="Y16" s="84">
        <f t="shared" si="2"/>
        <v>2500</v>
      </c>
      <c r="Z16" s="85">
        <f t="shared" si="7"/>
        <v>208725</v>
      </c>
      <c r="AA16" s="86">
        <v>0.05</v>
      </c>
      <c r="AB16" s="85">
        <f t="shared" si="4"/>
        <v>198288.75</v>
      </c>
      <c r="AC16" s="33"/>
      <c r="AD16" s="12"/>
      <c r="AE16" s="12"/>
      <c r="AF16" s="12"/>
      <c r="AG16" s="10"/>
      <c r="AH16" s="10">
        <f t="shared" si="5"/>
        <v>19828.875</v>
      </c>
    </row>
    <row r="17" ht="27.0" hidden="1" customHeight="1" outlineLevel="1">
      <c r="A17" s="13"/>
      <c r="B17" s="101"/>
      <c r="C17" s="27"/>
      <c r="D17" s="2"/>
      <c r="E17" s="2" t="s">
        <v>79</v>
      </c>
      <c r="F17" s="2"/>
      <c r="G17" s="75" t="s">
        <v>80</v>
      </c>
      <c r="H17" s="93"/>
      <c r="I17" s="94"/>
      <c r="J17" s="27"/>
      <c r="K17" s="27" t="s">
        <v>81</v>
      </c>
      <c r="L17" s="10"/>
      <c r="M17" s="77"/>
      <c r="N17" s="102">
        <v>5.0</v>
      </c>
      <c r="O17" s="98"/>
      <c r="P17" s="99"/>
      <c r="Q17" s="79" t="s">
        <v>49</v>
      </c>
      <c r="R17" s="29"/>
      <c r="S17" s="95" t="s">
        <v>81</v>
      </c>
      <c r="T17" s="103"/>
      <c r="U17" s="96" t="s">
        <v>49</v>
      </c>
      <c r="V17" s="104"/>
      <c r="W17" s="30"/>
      <c r="X17" s="31" t="s">
        <v>51</v>
      </c>
      <c r="Y17" s="100">
        <v>20000.0</v>
      </c>
      <c r="Z17" s="85">
        <f t="shared" si="7"/>
        <v>100000</v>
      </c>
      <c r="AA17" s="86">
        <v>0.05</v>
      </c>
      <c r="AB17" s="85">
        <f t="shared" si="4"/>
        <v>95000</v>
      </c>
      <c r="AC17" s="33"/>
      <c r="AD17" s="12"/>
      <c r="AE17" s="12"/>
      <c r="AF17" s="12"/>
      <c r="AG17" s="10"/>
      <c r="AH17" s="10">
        <f t="shared" si="5"/>
        <v>9500</v>
      </c>
    </row>
    <row r="18" ht="27.0" hidden="1" customHeight="1" outlineLevel="1">
      <c r="A18" s="105"/>
      <c r="B18" s="106" t="s">
        <v>82</v>
      </c>
      <c r="C18" s="107"/>
      <c r="D18" s="108"/>
      <c r="E18" s="108" t="s">
        <v>83</v>
      </c>
      <c r="F18" s="108"/>
      <c r="G18" s="109" t="s">
        <v>84</v>
      </c>
      <c r="H18" s="110"/>
      <c r="I18" s="111"/>
      <c r="J18" s="107"/>
      <c r="K18" s="107" t="s">
        <v>81</v>
      </c>
      <c r="L18" s="112"/>
      <c r="M18" s="113"/>
      <c r="N18" s="114"/>
      <c r="O18" s="115"/>
      <c r="P18" s="116"/>
      <c r="Q18" s="117" t="s">
        <v>49</v>
      </c>
      <c r="R18" s="118"/>
      <c r="S18" s="119" t="s">
        <v>81</v>
      </c>
      <c r="T18" s="120"/>
      <c r="U18" s="121" t="s">
        <v>49</v>
      </c>
      <c r="V18" s="122"/>
      <c r="W18" s="123">
        <v>20000.0</v>
      </c>
      <c r="X18" s="124" t="s">
        <v>51</v>
      </c>
      <c r="Y18" s="125">
        <v>0.0</v>
      </c>
      <c r="Z18" s="126">
        <v>20000.0</v>
      </c>
      <c r="AA18" s="127">
        <v>0.0</v>
      </c>
      <c r="AB18" s="126">
        <f t="shared" si="4"/>
        <v>20000</v>
      </c>
      <c r="AC18" s="128"/>
      <c r="AD18" s="129"/>
      <c r="AE18" s="129"/>
      <c r="AF18" s="129"/>
      <c r="AG18" s="130">
        <v>0.05</v>
      </c>
      <c r="AH18" s="112">
        <f>AB18*0.05</f>
        <v>1000</v>
      </c>
    </row>
    <row r="19" ht="47.25" customHeight="1" collapsed="1">
      <c r="A19" s="56"/>
      <c r="B19" s="56"/>
      <c r="C19" s="57"/>
      <c r="D19" s="58"/>
      <c r="E19" s="58" t="s">
        <v>85</v>
      </c>
      <c r="F19" s="58"/>
      <c r="G19" s="59"/>
      <c r="H19" s="60"/>
      <c r="I19" s="60"/>
      <c r="J19" s="60"/>
      <c r="K19" s="61"/>
      <c r="L19" s="62"/>
      <c r="M19" s="63"/>
      <c r="N19" s="64"/>
      <c r="O19" s="65"/>
      <c r="P19" s="66"/>
      <c r="Q19" s="67"/>
      <c r="R19" s="67"/>
      <c r="S19" s="70"/>
      <c r="T19" s="70"/>
      <c r="U19" s="70"/>
      <c r="V19" s="70"/>
      <c r="W19" s="70"/>
      <c r="X19" s="61"/>
      <c r="Y19" s="70"/>
      <c r="Z19" s="62">
        <f>sumif($Q20:$Q28,"Основа",Z20:Z28)</f>
        <v>474968</v>
      </c>
      <c r="AA19" s="71"/>
      <c r="AB19" s="62">
        <f>sumif($Q20:$Q28,"Основа",AB20:AB28)</f>
        <v>451319.6</v>
      </c>
      <c r="AC19" s="72"/>
      <c r="AD19" s="73"/>
      <c r="AE19" s="73"/>
      <c r="AF19" s="73"/>
      <c r="AG19" s="62"/>
      <c r="AH19" s="62">
        <f>sumif($Q20:$Q28,"Основа",AH20:AH28)</f>
        <v>45131.96</v>
      </c>
    </row>
    <row r="20" ht="52.5" hidden="1" customHeight="1" outlineLevel="1" collapsed="1">
      <c r="A20" s="131"/>
      <c r="B20" s="132"/>
      <c r="C20" s="133"/>
      <c r="D20" s="134"/>
      <c r="E20" s="134" t="s">
        <v>86</v>
      </c>
      <c r="F20" s="134"/>
      <c r="G20" s="135" t="s">
        <v>87</v>
      </c>
      <c r="H20" s="136"/>
      <c r="I20" s="137"/>
      <c r="J20" s="138" t="s">
        <v>88</v>
      </c>
      <c r="K20" s="139" t="s">
        <v>48</v>
      </c>
      <c r="L20" s="139">
        <v>78.0</v>
      </c>
      <c r="M20" s="140">
        <v>0.05</v>
      </c>
      <c r="N20" s="141">
        <f>roundup(L20+L20*M20)</f>
        <v>82</v>
      </c>
      <c r="O20" s="142"/>
      <c r="P20" s="143"/>
      <c r="Q20" s="144" t="s">
        <v>49</v>
      </c>
      <c r="R20" s="145" t="s">
        <v>72</v>
      </c>
      <c r="S20" s="146" t="s">
        <v>48</v>
      </c>
      <c r="T20" s="146">
        <v>78.0</v>
      </c>
      <c r="U20" s="147" t="s">
        <v>49</v>
      </c>
      <c r="V20" s="147" t="s">
        <v>72</v>
      </c>
      <c r="W20" s="148">
        <v>5307.0</v>
      </c>
      <c r="X20" s="149" t="s">
        <v>51</v>
      </c>
      <c r="Y20" s="150">
        <f>W20</f>
        <v>5307</v>
      </c>
      <c r="Z20" s="151">
        <f>L20*W20</f>
        <v>413946</v>
      </c>
      <c r="AA20" s="152">
        <v>0.05</v>
      </c>
      <c r="AB20" s="151">
        <f t="shared" ref="AB20:AB28" si="8">Z20-Z20*AA20</f>
        <v>393248.7</v>
      </c>
      <c r="AC20" s="139"/>
      <c r="AD20" s="153"/>
      <c r="AE20" s="153"/>
      <c r="AF20" s="153"/>
      <c r="AG20" s="154">
        <v>0.1</v>
      </c>
      <c r="AH20" s="155">
        <f t="shared" ref="AH20:AH28" si="9">AB20*0.1</f>
        <v>39324.87</v>
      </c>
    </row>
    <row r="21" ht="33.0" hidden="1" customHeight="1" outlineLevel="2">
      <c r="A21" s="156"/>
      <c r="B21" s="157" t="s">
        <v>89</v>
      </c>
      <c r="C21" s="157" t="s">
        <v>90</v>
      </c>
      <c r="D21" s="158"/>
      <c r="E21" s="158" t="s">
        <v>86</v>
      </c>
      <c r="F21" s="158"/>
      <c r="G21" s="159" t="s">
        <v>87</v>
      </c>
      <c r="H21" s="160"/>
      <c r="I21" s="161"/>
      <c r="J21" s="157"/>
      <c r="K21" s="162" t="s">
        <v>48</v>
      </c>
      <c r="L21" s="162">
        <v>15.81</v>
      </c>
      <c r="M21" s="163"/>
      <c r="N21" s="164"/>
      <c r="O21" s="165"/>
      <c r="P21" s="166"/>
      <c r="Q21" s="162" t="s">
        <v>91</v>
      </c>
      <c r="R21" s="167" t="s">
        <v>72</v>
      </c>
      <c r="S21" s="168" t="s">
        <v>81</v>
      </c>
      <c r="T21" s="168">
        <v>1.8</v>
      </c>
      <c r="U21" s="169" t="s">
        <v>49</v>
      </c>
      <c r="V21" s="169" t="s">
        <v>72</v>
      </c>
      <c r="W21" s="170"/>
      <c r="X21" s="167"/>
      <c r="Y21" s="171"/>
      <c r="Z21" s="172"/>
      <c r="AA21" s="173"/>
      <c r="AB21" s="172">
        <f t="shared" si="8"/>
        <v>0</v>
      </c>
      <c r="AC21" s="174"/>
      <c r="AD21" s="175"/>
      <c r="AE21" s="175"/>
      <c r="AF21" s="175"/>
      <c r="AG21" s="176"/>
      <c r="AH21" s="176">
        <f t="shared" si="9"/>
        <v>0</v>
      </c>
    </row>
    <row r="22" ht="33.0" hidden="1" customHeight="1" outlineLevel="2">
      <c r="A22" s="156"/>
      <c r="B22" s="157" t="s">
        <v>44</v>
      </c>
      <c r="C22" s="157" t="s">
        <v>92</v>
      </c>
      <c r="D22" s="158"/>
      <c r="E22" s="158" t="s">
        <v>86</v>
      </c>
      <c r="F22" s="158"/>
      <c r="G22" s="159" t="s">
        <v>87</v>
      </c>
      <c r="H22" s="160"/>
      <c r="I22" s="161"/>
      <c r="J22" s="157"/>
      <c r="K22" s="162" t="s">
        <v>48</v>
      </c>
      <c r="L22" s="162">
        <v>3.19</v>
      </c>
      <c r="M22" s="163"/>
      <c r="N22" s="164"/>
      <c r="O22" s="165"/>
      <c r="P22" s="166"/>
      <c r="Q22" s="162" t="s">
        <v>91</v>
      </c>
      <c r="R22" s="167" t="s">
        <v>72</v>
      </c>
      <c r="S22" s="168" t="s">
        <v>81</v>
      </c>
      <c r="T22" s="168">
        <v>6.0</v>
      </c>
      <c r="U22" s="169" t="s">
        <v>49</v>
      </c>
      <c r="V22" s="169" t="s">
        <v>72</v>
      </c>
      <c r="W22" s="170"/>
      <c r="X22" s="167"/>
      <c r="Y22" s="171"/>
      <c r="Z22" s="172"/>
      <c r="AA22" s="173"/>
      <c r="AB22" s="172">
        <f t="shared" si="8"/>
        <v>0</v>
      </c>
      <c r="AC22" s="174"/>
      <c r="AD22" s="175"/>
      <c r="AE22" s="175"/>
      <c r="AF22" s="175"/>
      <c r="AG22" s="176"/>
      <c r="AH22" s="176">
        <f t="shared" si="9"/>
        <v>0</v>
      </c>
    </row>
    <row r="23" ht="33.0" hidden="1" customHeight="1" outlineLevel="2">
      <c r="A23" s="156"/>
      <c r="B23" s="157" t="s">
        <v>74</v>
      </c>
      <c r="C23" s="157" t="s">
        <v>93</v>
      </c>
      <c r="D23" s="158"/>
      <c r="E23" s="158" t="s">
        <v>86</v>
      </c>
      <c r="F23" s="158"/>
      <c r="G23" s="159" t="s">
        <v>87</v>
      </c>
      <c r="H23" s="160"/>
      <c r="I23" s="161"/>
      <c r="J23" s="157"/>
      <c r="K23" s="162" t="s">
        <v>48</v>
      </c>
      <c r="L23" s="162">
        <v>24.98</v>
      </c>
      <c r="M23" s="163"/>
      <c r="N23" s="164"/>
      <c r="O23" s="165"/>
      <c r="P23" s="166"/>
      <c r="Q23" s="162" t="s">
        <v>91</v>
      </c>
      <c r="R23" s="167" t="s">
        <v>72</v>
      </c>
      <c r="S23" s="177"/>
      <c r="T23" s="177"/>
      <c r="U23" s="169" t="s">
        <v>49</v>
      </c>
      <c r="V23" s="169" t="s">
        <v>94</v>
      </c>
      <c r="W23" s="170"/>
      <c r="X23" s="167"/>
      <c r="Y23" s="171"/>
      <c r="Z23" s="172"/>
      <c r="AA23" s="173"/>
      <c r="AB23" s="172">
        <f t="shared" si="8"/>
        <v>0</v>
      </c>
      <c r="AC23" s="174"/>
      <c r="AD23" s="175"/>
      <c r="AE23" s="175"/>
      <c r="AF23" s="175"/>
      <c r="AG23" s="176"/>
      <c r="AH23" s="176">
        <f t="shared" si="9"/>
        <v>0</v>
      </c>
    </row>
    <row r="24" ht="33.0" hidden="1" customHeight="1" outlineLevel="2">
      <c r="A24" s="156"/>
      <c r="B24" s="157" t="s">
        <v>82</v>
      </c>
      <c r="C24" s="157" t="s">
        <v>95</v>
      </c>
      <c r="D24" s="158"/>
      <c r="E24" s="158" t="s">
        <v>86</v>
      </c>
      <c r="F24" s="158"/>
      <c r="G24" s="159" t="s">
        <v>87</v>
      </c>
      <c r="H24" s="160"/>
      <c r="I24" s="161"/>
      <c r="J24" s="157"/>
      <c r="K24" s="162" t="s">
        <v>48</v>
      </c>
      <c r="L24" s="162">
        <v>13.49</v>
      </c>
      <c r="M24" s="163"/>
      <c r="N24" s="164"/>
      <c r="O24" s="165"/>
      <c r="P24" s="166"/>
      <c r="Q24" s="162" t="s">
        <v>91</v>
      </c>
      <c r="R24" s="167" t="s">
        <v>72</v>
      </c>
      <c r="S24" s="170"/>
      <c r="T24" s="170"/>
      <c r="U24" s="170"/>
      <c r="V24" s="170"/>
      <c r="W24" s="170"/>
      <c r="X24" s="167"/>
      <c r="Y24" s="171"/>
      <c r="Z24" s="172"/>
      <c r="AA24" s="173"/>
      <c r="AB24" s="172">
        <f t="shared" si="8"/>
        <v>0</v>
      </c>
      <c r="AC24" s="174"/>
      <c r="AD24" s="175"/>
      <c r="AE24" s="175"/>
      <c r="AF24" s="175"/>
      <c r="AG24" s="176"/>
      <c r="AH24" s="176">
        <f t="shared" si="9"/>
        <v>0</v>
      </c>
    </row>
    <row r="25" ht="33.0" hidden="1" customHeight="1" outlineLevel="2">
      <c r="A25" s="156"/>
      <c r="B25" s="157" t="s">
        <v>96</v>
      </c>
      <c r="C25" s="157" t="s">
        <v>97</v>
      </c>
      <c r="D25" s="158"/>
      <c r="E25" s="158" t="s">
        <v>86</v>
      </c>
      <c r="F25" s="158"/>
      <c r="G25" s="159" t="s">
        <v>87</v>
      </c>
      <c r="H25" s="160"/>
      <c r="I25" s="161"/>
      <c r="J25" s="157"/>
      <c r="K25" s="162" t="s">
        <v>48</v>
      </c>
      <c r="L25" s="162">
        <v>14.21</v>
      </c>
      <c r="M25" s="163"/>
      <c r="N25" s="164"/>
      <c r="O25" s="165"/>
      <c r="P25" s="166"/>
      <c r="Q25" s="162" t="s">
        <v>91</v>
      </c>
      <c r="R25" s="167" t="s">
        <v>72</v>
      </c>
      <c r="S25" s="170"/>
      <c r="T25" s="170"/>
      <c r="U25" s="170"/>
      <c r="V25" s="170"/>
      <c r="W25" s="170"/>
      <c r="X25" s="167"/>
      <c r="Y25" s="171"/>
      <c r="Z25" s="172"/>
      <c r="AA25" s="173"/>
      <c r="AB25" s="172">
        <f t="shared" si="8"/>
        <v>0</v>
      </c>
      <c r="AC25" s="174"/>
      <c r="AD25" s="175"/>
      <c r="AE25" s="175"/>
      <c r="AF25" s="175"/>
      <c r="AG25" s="176"/>
      <c r="AH25" s="176">
        <f t="shared" si="9"/>
        <v>0</v>
      </c>
    </row>
    <row r="26" ht="52.5" hidden="1" customHeight="1" outlineLevel="1">
      <c r="A26" s="178"/>
      <c r="B26" s="179"/>
      <c r="C26" s="180"/>
      <c r="D26" s="181"/>
      <c r="E26" s="181" t="s">
        <v>98</v>
      </c>
      <c r="F26" s="181"/>
      <c r="G26" s="174" t="s">
        <v>87</v>
      </c>
      <c r="H26" s="182"/>
      <c r="I26" s="183"/>
      <c r="J26" s="184"/>
      <c r="K26" s="174" t="s">
        <v>81</v>
      </c>
      <c r="L26" s="174">
        <v>1.8</v>
      </c>
      <c r="M26" s="185"/>
      <c r="N26" s="186"/>
      <c r="O26" s="187"/>
      <c r="P26" s="188"/>
      <c r="Q26" s="189" t="s">
        <v>49</v>
      </c>
      <c r="R26" s="190" t="s">
        <v>72</v>
      </c>
      <c r="S26" s="168" t="s">
        <v>81</v>
      </c>
      <c r="T26" s="168">
        <v>1.8</v>
      </c>
      <c r="U26" s="169" t="s">
        <v>49</v>
      </c>
      <c r="V26" s="169" t="s">
        <v>72</v>
      </c>
      <c r="W26" s="191">
        <v>7330.0</v>
      </c>
      <c r="X26" s="192" t="s">
        <v>51</v>
      </c>
      <c r="Y26" s="193">
        <f t="shared" ref="Y26:Y27" si="10">W26</f>
        <v>7330</v>
      </c>
      <c r="Z26" s="172">
        <f t="shared" ref="Z26:Z27" si="11">Y26*L26</f>
        <v>13194</v>
      </c>
      <c r="AA26" s="194">
        <v>0.05</v>
      </c>
      <c r="AB26" s="172">
        <f t="shared" si="8"/>
        <v>12534.3</v>
      </c>
      <c r="AC26" s="174"/>
      <c r="AD26" s="175"/>
      <c r="AE26" s="175"/>
      <c r="AF26" s="175"/>
      <c r="AG26" s="176"/>
      <c r="AH26" s="176">
        <f t="shared" si="9"/>
        <v>1253.43</v>
      </c>
    </row>
    <row r="27" ht="52.5" hidden="1" customHeight="1" outlineLevel="1">
      <c r="A27" s="178"/>
      <c r="B27" s="179"/>
      <c r="C27" s="180"/>
      <c r="D27" s="181"/>
      <c r="E27" s="181" t="s">
        <v>99</v>
      </c>
      <c r="F27" s="181"/>
      <c r="G27" s="174" t="s">
        <v>87</v>
      </c>
      <c r="H27" s="182"/>
      <c r="I27" s="183"/>
      <c r="J27" s="184"/>
      <c r="K27" s="174" t="s">
        <v>81</v>
      </c>
      <c r="L27" s="174">
        <v>6.0</v>
      </c>
      <c r="M27" s="185"/>
      <c r="N27" s="186"/>
      <c r="O27" s="187"/>
      <c r="P27" s="188"/>
      <c r="Q27" s="189" t="s">
        <v>49</v>
      </c>
      <c r="R27" s="190" t="s">
        <v>72</v>
      </c>
      <c r="S27" s="168" t="s">
        <v>81</v>
      </c>
      <c r="T27" s="168">
        <v>6.0</v>
      </c>
      <c r="U27" s="169" t="s">
        <v>49</v>
      </c>
      <c r="V27" s="169" t="s">
        <v>72</v>
      </c>
      <c r="W27" s="191">
        <v>7638.0</v>
      </c>
      <c r="X27" s="192" t="s">
        <v>51</v>
      </c>
      <c r="Y27" s="193">
        <f t="shared" si="10"/>
        <v>7638</v>
      </c>
      <c r="Z27" s="172">
        <f t="shared" si="11"/>
        <v>45828</v>
      </c>
      <c r="AA27" s="194">
        <v>0.05</v>
      </c>
      <c r="AB27" s="172">
        <f t="shared" si="8"/>
        <v>43536.6</v>
      </c>
      <c r="AC27" s="174"/>
      <c r="AD27" s="175"/>
      <c r="AE27" s="175"/>
      <c r="AF27" s="175"/>
      <c r="AG27" s="176"/>
      <c r="AH27" s="176">
        <f t="shared" si="9"/>
        <v>4353.66</v>
      </c>
    </row>
    <row r="28" ht="52.5" hidden="1" customHeight="1" outlineLevel="1">
      <c r="A28" s="178"/>
      <c r="B28" s="179"/>
      <c r="C28" s="180"/>
      <c r="D28" s="181"/>
      <c r="E28" s="181" t="s">
        <v>100</v>
      </c>
      <c r="F28" s="181"/>
      <c r="G28" s="195" t="s">
        <v>87</v>
      </c>
      <c r="H28" s="182"/>
      <c r="I28" s="183"/>
      <c r="J28" s="184"/>
      <c r="K28" s="174"/>
      <c r="L28" s="174"/>
      <c r="M28" s="185"/>
      <c r="N28" s="186"/>
      <c r="O28" s="187"/>
      <c r="P28" s="188"/>
      <c r="Q28" s="189" t="s">
        <v>49</v>
      </c>
      <c r="R28" s="190" t="s">
        <v>94</v>
      </c>
      <c r="S28" s="177"/>
      <c r="T28" s="177"/>
      <c r="U28" s="169" t="s">
        <v>49</v>
      </c>
      <c r="V28" s="169" t="s">
        <v>94</v>
      </c>
      <c r="W28" s="191"/>
      <c r="X28" s="192" t="s">
        <v>51</v>
      </c>
      <c r="Y28" s="193"/>
      <c r="Z28" s="172">
        <v>2000.0</v>
      </c>
      <c r="AA28" s="194"/>
      <c r="AB28" s="172">
        <f t="shared" si="8"/>
        <v>2000</v>
      </c>
      <c r="AC28" s="174"/>
      <c r="AD28" s="175"/>
      <c r="AE28" s="175"/>
      <c r="AF28" s="175"/>
      <c r="AG28" s="176"/>
      <c r="AH28" s="176">
        <f t="shared" si="9"/>
        <v>200</v>
      </c>
    </row>
    <row r="29" ht="47.25" customHeight="1" collapsed="1">
      <c r="A29" s="56"/>
      <c r="B29" s="56"/>
      <c r="C29" s="57"/>
      <c r="D29" s="58"/>
      <c r="E29" s="58" t="s">
        <v>101</v>
      </c>
      <c r="F29" s="58"/>
      <c r="G29" s="59"/>
      <c r="H29" s="60"/>
      <c r="I29" s="60"/>
      <c r="J29" s="60"/>
      <c r="K29" s="61"/>
      <c r="L29" s="62"/>
      <c r="M29" s="63"/>
      <c r="N29" s="64"/>
      <c r="O29" s="65"/>
      <c r="P29" s="66"/>
      <c r="Q29" s="67"/>
      <c r="R29" s="67"/>
      <c r="S29" s="70"/>
      <c r="T29" s="70"/>
      <c r="U29" s="70"/>
      <c r="V29" s="70"/>
      <c r="W29" s="70"/>
      <c r="X29" s="61"/>
      <c r="Y29" s="70"/>
      <c r="Z29" s="62">
        <f>sumif($Q30:$Q42,"Основа",Z30:Z42)</f>
        <v>57100</v>
      </c>
      <c r="AA29" s="71"/>
      <c r="AB29" s="62">
        <f t="shared" ref="AB29:AF29" si="12">sumif($Q30:$Q42,"Основа",AB30:AB42)</f>
        <v>54245</v>
      </c>
      <c r="AC29" s="62">
        <f t="shared" si="12"/>
        <v>0</v>
      </c>
      <c r="AD29" s="62">
        <f t="shared" si="12"/>
        <v>0</v>
      </c>
      <c r="AE29" s="62">
        <f t="shared" si="12"/>
        <v>0</v>
      </c>
      <c r="AF29" s="62">
        <f t="shared" si="12"/>
        <v>0</v>
      </c>
      <c r="AG29" s="62"/>
      <c r="AH29" s="62">
        <f>sumif($Q30:$Q42,"Основа",AH30:AH42)</f>
        <v>5424.5</v>
      </c>
    </row>
    <row r="30" ht="48.75" hidden="1" customHeight="1" outlineLevel="1" collapsed="1">
      <c r="A30" s="13"/>
      <c r="B30" s="74"/>
      <c r="C30" s="27"/>
      <c r="D30" s="2"/>
      <c r="E30" s="2" t="s">
        <v>102</v>
      </c>
      <c r="F30" s="2"/>
      <c r="G30" s="75" t="s">
        <v>103</v>
      </c>
      <c r="H30" s="93"/>
      <c r="I30" s="94"/>
      <c r="J30" s="97"/>
      <c r="K30" s="33" t="s">
        <v>48</v>
      </c>
      <c r="L30" s="10">
        <f>SUM(L31:L32)</f>
        <v>34.07</v>
      </c>
      <c r="M30" s="77">
        <v>0.15</v>
      </c>
      <c r="N30" s="78">
        <f t="shared" ref="N30:N40" si="13">L30+L30*M30</f>
        <v>39.1805</v>
      </c>
      <c r="O30" s="65"/>
      <c r="P30" s="66"/>
      <c r="Q30" s="79" t="s">
        <v>49</v>
      </c>
      <c r="R30" s="29" t="s">
        <v>104</v>
      </c>
      <c r="S30" s="95"/>
      <c r="T30" s="95"/>
      <c r="U30" s="96"/>
      <c r="V30" s="96"/>
      <c r="W30" s="30"/>
      <c r="X30" s="31" t="s">
        <v>51</v>
      </c>
      <c r="Y30" s="100"/>
      <c r="Z30" s="85">
        <v>8700.0</v>
      </c>
      <c r="AA30" s="86">
        <v>0.05</v>
      </c>
      <c r="AB30" s="85">
        <f>Z30-Z30*AA30</f>
        <v>8265</v>
      </c>
      <c r="AC30" s="33"/>
      <c r="AD30" s="12"/>
      <c r="AE30" s="12"/>
      <c r="AF30" s="12"/>
      <c r="AG30" s="10"/>
      <c r="AH30" s="10">
        <f>AB30*0.1</f>
        <v>826.5</v>
      </c>
    </row>
    <row r="31" ht="31.5" hidden="1" customHeight="1" outlineLevel="2">
      <c r="A31" s="196"/>
      <c r="B31" s="197" t="s">
        <v>74</v>
      </c>
      <c r="C31" s="197" t="s">
        <v>105</v>
      </c>
      <c r="D31" s="198"/>
      <c r="E31" s="198" t="s">
        <v>102</v>
      </c>
      <c r="F31" s="198"/>
      <c r="G31" s="199"/>
      <c r="H31" s="200"/>
      <c r="I31" s="201"/>
      <c r="J31" s="197"/>
      <c r="K31" s="202" t="s">
        <v>48</v>
      </c>
      <c r="L31" s="203">
        <f>31.9</f>
        <v>31.9</v>
      </c>
      <c r="M31" s="204">
        <v>0.15</v>
      </c>
      <c r="N31" s="205">
        <f t="shared" si="13"/>
        <v>36.685</v>
      </c>
      <c r="O31" s="206"/>
      <c r="P31" s="207"/>
      <c r="Q31" s="202" t="s">
        <v>91</v>
      </c>
      <c r="R31" s="208"/>
      <c r="S31" s="95"/>
      <c r="T31" s="95"/>
      <c r="U31" s="96"/>
      <c r="V31" s="96"/>
      <c r="W31" s="209"/>
      <c r="X31" s="208"/>
      <c r="Y31" s="210"/>
      <c r="Z31" s="211"/>
      <c r="AA31" s="212"/>
      <c r="AB31" s="211"/>
      <c r="AC31" s="202"/>
      <c r="AD31" s="203"/>
      <c r="AE31" s="203"/>
      <c r="AF31" s="203"/>
      <c r="AG31" s="203"/>
      <c r="AH31" s="203"/>
    </row>
    <row r="32" ht="31.5" hidden="1" customHeight="1" outlineLevel="2">
      <c r="A32" s="196"/>
      <c r="B32" s="197" t="s">
        <v>52</v>
      </c>
      <c r="C32" s="197" t="s">
        <v>106</v>
      </c>
      <c r="D32" s="198"/>
      <c r="E32" s="198" t="s">
        <v>102</v>
      </c>
      <c r="F32" s="198"/>
      <c r="G32" s="199"/>
      <c r="H32" s="200"/>
      <c r="I32" s="201"/>
      <c r="J32" s="197"/>
      <c r="K32" s="202" t="s">
        <v>48</v>
      </c>
      <c r="L32" s="203">
        <f>2.17</f>
        <v>2.17</v>
      </c>
      <c r="M32" s="204">
        <v>0.15</v>
      </c>
      <c r="N32" s="205">
        <f t="shared" si="13"/>
        <v>2.4955</v>
      </c>
      <c r="O32" s="206"/>
      <c r="P32" s="207"/>
      <c r="Q32" s="202" t="s">
        <v>91</v>
      </c>
      <c r="R32" s="208"/>
      <c r="S32" s="95"/>
      <c r="T32" s="95"/>
      <c r="U32" s="96"/>
      <c r="V32" s="96"/>
      <c r="W32" s="209"/>
      <c r="X32" s="208"/>
      <c r="Y32" s="210"/>
      <c r="Z32" s="211"/>
      <c r="AA32" s="212"/>
      <c r="AB32" s="211"/>
      <c r="AC32" s="202"/>
      <c r="AD32" s="203"/>
      <c r="AE32" s="203"/>
      <c r="AF32" s="203"/>
      <c r="AG32" s="203"/>
      <c r="AH32" s="203"/>
    </row>
    <row r="33" ht="52.5" hidden="1" customHeight="1" outlineLevel="1" collapsed="1">
      <c r="A33" s="13"/>
      <c r="B33" s="74"/>
      <c r="C33" s="27"/>
      <c r="D33" s="2"/>
      <c r="E33" s="2" t="s">
        <v>107</v>
      </c>
      <c r="F33" s="2"/>
      <c r="G33" s="75" t="s">
        <v>103</v>
      </c>
      <c r="H33" s="93"/>
      <c r="I33" s="94"/>
      <c r="J33" s="97"/>
      <c r="K33" s="33" t="s">
        <v>48</v>
      </c>
      <c r="L33" s="10">
        <f>SUM(L34:L36)</f>
        <v>33.19</v>
      </c>
      <c r="M33" s="77">
        <v>0.15</v>
      </c>
      <c r="N33" s="78">
        <f t="shared" si="13"/>
        <v>38.1685</v>
      </c>
      <c r="O33" s="65"/>
      <c r="P33" s="66"/>
      <c r="Q33" s="79" t="s">
        <v>49</v>
      </c>
      <c r="R33" s="29" t="s">
        <v>104</v>
      </c>
      <c r="S33" s="95"/>
      <c r="T33" s="95"/>
      <c r="U33" s="96"/>
      <c r="V33" s="96"/>
      <c r="W33" s="30"/>
      <c r="X33" s="31" t="s">
        <v>51</v>
      </c>
      <c r="Y33" s="100" t="str">
        <f t="shared" ref="Y33:Y36" si="14">IFERROR(IF(X33="RUB",W33, IF(AND(W33="",X33=""),0,W33*INDIRECT(X33))),"Выберите валюту")</f>
        <v/>
      </c>
      <c r="Z33" s="85">
        <v>8700.0</v>
      </c>
      <c r="AA33" s="86">
        <v>0.05</v>
      </c>
      <c r="AB33" s="85">
        <f>Z33-Z33*AA33</f>
        <v>8265</v>
      </c>
      <c r="AC33" s="33"/>
      <c r="AD33" s="12"/>
      <c r="AE33" s="12"/>
      <c r="AF33" s="12"/>
      <c r="AG33" s="10"/>
      <c r="AH33" s="10">
        <f>AB33*0.1</f>
        <v>826.5</v>
      </c>
    </row>
    <row r="34" ht="25.5" hidden="1" customHeight="1" outlineLevel="2">
      <c r="A34" s="196"/>
      <c r="B34" s="197" t="s">
        <v>56</v>
      </c>
      <c r="C34" s="197" t="s">
        <v>108</v>
      </c>
      <c r="D34" s="198"/>
      <c r="E34" s="198" t="s">
        <v>107</v>
      </c>
      <c r="F34" s="198"/>
      <c r="G34" s="199"/>
      <c r="H34" s="200"/>
      <c r="I34" s="201"/>
      <c r="J34" s="197"/>
      <c r="K34" s="202" t="s">
        <v>48</v>
      </c>
      <c r="L34" s="203">
        <f>5.52</f>
        <v>5.52</v>
      </c>
      <c r="M34" s="204"/>
      <c r="N34" s="78">
        <f t="shared" si="13"/>
        <v>5.52</v>
      </c>
      <c r="O34" s="206"/>
      <c r="P34" s="207"/>
      <c r="Q34" s="202" t="s">
        <v>91</v>
      </c>
      <c r="R34" s="208"/>
      <c r="S34" s="95"/>
      <c r="T34" s="95">
        <v>12.19</v>
      </c>
      <c r="U34" s="96"/>
      <c r="V34" s="96"/>
      <c r="W34" s="209"/>
      <c r="X34" s="208"/>
      <c r="Y34" s="210">
        <f t="shared" si="14"/>
        <v>0</v>
      </c>
      <c r="Z34" s="211"/>
      <c r="AA34" s="212"/>
      <c r="AB34" s="211"/>
      <c r="AC34" s="202"/>
      <c r="AD34" s="203"/>
      <c r="AE34" s="203"/>
      <c r="AF34" s="203"/>
      <c r="AG34" s="203"/>
      <c r="AH34" s="203"/>
    </row>
    <row r="35" ht="25.5" hidden="1" customHeight="1" outlineLevel="2">
      <c r="A35" s="196"/>
      <c r="B35" s="197" t="s">
        <v>82</v>
      </c>
      <c r="C35" s="197" t="s">
        <v>109</v>
      </c>
      <c r="D35" s="198"/>
      <c r="E35" s="198" t="s">
        <v>107</v>
      </c>
      <c r="F35" s="198"/>
      <c r="G35" s="199"/>
      <c r="H35" s="200"/>
      <c r="I35" s="201"/>
      <c r="J35" s="197"/>
      <c r="K35" s="202" t="s">
        <v>48</v>
      </c>
      <c r="L35" s="203">
        <f>13.49</f>
        <v>13.49</v>
      </c>
      <c r="M35" s="204"/>
      <c r="N35" s="78">
        <f t="shared" si="13"/>
        <v>13.49</v>
      </c>
      <c r="O35" s="206"/>
      <c r="P35" s="207"/>
      <c r="Q35" s="202" t="s">
        <v>91</v>
      </c>
      <c r="R35" s="208"/>
      <c r="S35" s="95"/>
      <c r="T35" s="95">
        <v>79.06</v>
      </c>
      <c r="U35" s="96"/>
      <c r="V35" s="96"/>
      <c r="W35" s="209"/>
      <c r="X35" s="208"/>
      <c r="Y35" s="210">
        <f t="shared" si="14"/>
        <v>0</v>
      </c>
      <c r="Z35" s="211"/>
      <c r="AA35" s="212"/>
      <c r="AB35" s="211"/>
      <c r="AC35" s="202"/>
      <c r="AD35" s="203"/>
      <c r="AE35" s="203"/>
      <c r="AF35" s="203"/>
      <c r="AG35" s="203"/>
      <c r="AH35" s="203"/>
    </row>
    <row r="36" ht="25.5" hidden="1" customHeight="1" outlineLevel="2">
      <c r="A36" s="196"/>
      <c r="B36" s="197" t="s">
        <v>96</v>
      </c>
      <c r="C36" s="197" t="s">
        <v>110</v>
      </c>
      <c r="D36" s="198"/>
      <c r="E36" s="198" t="s">
        <v>107</v>
      </c>
      <c r="F36" s="198"/>
      <c r="G36" s="199"/>
      <c r="H36" s="200"/>
      <c r="I36" s="201"/>
      <c r="J36" s="197"/>
      <c r="K36" s="202" t="s">
        <v>48</v>
      </c>
      <c r="L36" s="203">
        <f>14.18</f>
        <v>14.18</v>
      </c>
      <c r="M36" s="204"/>
      <c r="N36" s="78">
        <f t="shared" si="13"/>
        <v>14.18</v>
      </c>
      <c r="O36" s="206"/>
      <c r="P36" s="207"/>
      <c r="Q36" s="202" t="s">
        <v>91</v>
      </c>
      <c r="R36" s="208"/>
      <c r="S36" s="209"/>
      <c r="T36" s="209"/>
      <c r="U36" s="209"/>
      <c r="V36" s="209"/>
      <c r="W36" s="209"/>
      <c r="X36" s="208"/>
      <c r="Y36" s="210">
        <f t="shared" si="14"/>
        <v>0</v>
      </c>
      <c r="Z36" s="211"/>
      <c r="AA36" s="212"/>
      <c r="AB36" s="211"/>
      <c r="AC36" s="202"/>
      <c r="AD36" s="203"/>
      <c r="AE36" s="203"/>
      <c r="AF36" s="203"/>
      <c r="AG36" s="203"/>
      <c r="AH36" s="203"/>
    </row>
    <row r="37" ht="47.25" hidden="1" customHeight="1" outlineLevel="1">
      <c r="A37" s="2"/>
      <c r="B37" s="2" t="s">
        <v>89</v>
      </c>
      <c r="C37" s="25" t="s">
        <v>111</v>
      </c>
      <c r="D37" s="2"/>
      <c r="E37" s="2" t="s">
        <v>112</v>
      </c>
      <c r="F37" s="2"/>
      <c r="G37" s="75" t="s">
        <v>103</v>
      </c>
      <c r="H37" s="7"/>
      <c r="I37" s="7"/>
      <c r="J37" s="7"/>
      <c r="K37" s="33" t="s">
        <v>48</v>
      </c>
      <c r="L37" s="10">
        <f>14.99</f>
        <v>14.99</v>
      </c>
      <c r="M37" s="77">
        <v>0.15</v>
      </c>
      <c r="N37" s="78">
        <f t="shared" si="13"/>
        <v>17.2385</v>
      </c>
      <c r="O37" s="65"/>
      <c r="P37" s="66"/>
      <c r="Q37" s="2" t="s">
        <v>49</v>
      </c>
      <c r="R37" s="2" t="s">
        <v>104</v>
      </c>
      <c r="S37" s="213"/>
      <c r="T37" s="213"/>
      <c r="U37" s="213"/>
      <c r="V37" s="213"/>
      <c r="W37" s="213"/>
      <c r="X37" s="25" t="s">
        <v>51</v>
      </c>
      <c r="Y37" s="213"/>
      <c r="Z37" s="33">
        <v>6300.0</v>
      </c>
      <c r="AA37" s="86">
        <v>0.05</v>
      </c>
      <c r="AB37" s="85">
        <f t="shared" ref="AB37:AB40" si="15">Z37-Z37*AA37</f>
        <v>5985</v>
      </c>
      <c r="AC37" s="33"/>
      <c r="AD37" s="12"/>
      <c r="AE37" s="12"/>
      <c r="AF37" s="12"/>
      <c r="AG37" s="10"/>
      <c r="AH37" s="10">
        <f t="shared" ref="AH37:AH40" si="16">AB37*0.1</f>
        <v>598.5</v>
      </c>
    </row>
    <row r="38" ht="47.25" hidden="1" customHeight="1" outlineLevel="1">
      <c r="A38" s="2"/>
      <c r="B38" s="2" t="s">
        <v>89</v>
      </c>
      <c r="C38" s="25" t="s">
        <v>113</v>
      </c>
      <c r="D38" s="2"/>
      <c r="E38" s="2" t="s">
        <v>114</v>
      </c>
      <c r="F38" s="2"/>
      <c r="G38" s="75" t="s">
        <v>103</v>
      </c>
      <c r="H38" s="7"/>
      <c r="I38" s="7"/>
      <c r="J38" s="7"/>
      <c r="K38" s="33" t="s">
        <v>48</v>
      </c>
      <c r="L38" s="10">
        <f>6.13+14.52+10.81+3.41</f>
        <v>34.87</v>
      </c>
      <c r="M38" s="77">
        <v>0.15</v>
      </c>
      <c r="N38" s="78">
        <f t="shared" si="13"/>
        <v>40.1005</v>
      </c>
      <c r="O38" s="65"/>
      <c r="P38" s="66"/>
      <c r="Q38" s="2" t="s">
        <v>49</v>
      </c>
      <c r="R38" s="2" t="s">
        <v>104</v>
      </c>
      <c r="S38" s="213"/>
      <c r="T38" s="213"/>
      <c r="U38" s="213"/>
      <c r="V38" s="213"/>
      <c r="W38" s="213"/>
      <c r="X38" s="25" t="s">
        <v>51</v>
      </c>
      <c r="Y38" s="213"/>
      <c r="Z38" s="85">
        <v>8700.0</v>
      </c>
      <c r="AA38" s="86">
        <v>0.05</v>
      </c>
      <c r="AB38" s="85">
        <f t="shared" si="15"/>
        <v>8265</v>
      </c>
      <c r="AC38" s="33"/>
      <c r="AD38" s="12"/>
      <c r="AE38" s="12"/>
      <c r="AF38" s="12"/>
      <c r="AG38" s="10"/>
      <c r="AH38" s="10">
        <f t="shared" si="16"/>
        <v>826.5</v>
      </c>
    </row>
    <row r="39" ht="47.25" hidden="1" customHeight="1" outlineLevel="1">
      <c r="A39" s="2"/>
      <c r="B39" s="2" t="s">
        <v>89</v>
      </c>
      <c r="C39" s="25" t="s">
        <v>115</v>
      </c>
      <c r="D39" s="2"/>
      <c r="E39" s="2" t="s">
        <v>116</v>
      </c>
      <c r="F39" s="2"/>
      <c r="G39" s="75" t="s">
        <v>103</v>
      </c>
      <c r="H39" s="7"/>
      <c r="I39" s="7"/>
      <c r="J39" s="7"/>
      <c r="K39" s="33" t="s">
        <v>48</v>
      </c>
      <c r="L39" s="10">
        <f>12.19</f>
        <v>12.19</v>
      </c>
      <c r="M39" s="77">
        <v>0.15</v>
      </c>
      <c r="N39" s="78">
        <f t="shared" si="13"/>
        <v>14.0185</v>
      </c>
      <c r="O39" s="65"/>
      <c r="P39" s="66"/>
      <c r="Q39" s="2" t="s">
        <v>49</v>
      </c>
      <c r="R39" s="2" t="s">
        <v>104</v>
      </c>
      <c r="S39" s="213"/>
      <c r="T39" s="213"/>
      <c r="U39" s="213"/>
      <c r="V39" s="213"/>
      <c r="W39" s="213"/>
      <c r="X39" s="25" t="s">
        <v>51</v>
      </c>
      <c r="Y39" s="213"/>
      <c r="Z39" s="33">
        <v>5800.0</v>
      </c>
      <c r="AA39" s="86">
        <v>0.05</v>
      </c>
      <c r="AB39" s="85">
        <f t="shared" si="15"/>
        <v>5510</v>
      </c>
      <c r="AC39" s="33"/>
      <c r="AD39" s="12"/>
      <c r="AE39" s="12"/>
      <c r="AF39" s="12"/>
      <c r="AG39" s="10"/>
      <c r="AH39" s="10">
        <f t="shared" si="16"/>
        <v>551</v>
      </c>
    </row>
    <row r="40" ht="47.25" hidden="1" customHeight="1" outlineLevel="1" collapsed="1">
      <c r="A40" s="2"/>
      <c r="B40" s="2"/>
      <c r="C40" s="25"/>
      <c r="D40" s="2"/>
      <c r="E40" s="2" t="s">
        <v>117</v>
      </c>
      <c r="F40" s="2"/>
      <c r="G40" s="75" t="s">
        <v>103</v>
      </c>
      <c r="H40" s="7"/>
      <c r="I40" s="7"/>
      <c r="J40" s="7"/>
      <c r="K40" s="33" t="s">
        <v>48</v>
      </c>
      <c r="L40" s="10">
        <f>sum(L41:L42)</f>
        <v>79.06</v>
      </c>
      <c r="M40" s="77">
        <v>0.15</v>
      </c>
      <c r="N40" s="78">
        <f t="shared" si="13"/>
        <v>90.919</v>
      </c>
      <c r="O40" s="65"/>
      <c r="P40" s="66"/>
      <c r="Q40" s="2" t="s">
        <v>49</v>
      </c>
      <c r="R40" s="2" t="s">
        <v>104</v>
      </c>
      <c r="S40" s="213"/>
      <c r="T40" s="213"/>
      <c r="U40" s="213"/>
      <c r="V40" s="213"/>
      <c r="W40" s="213"/>
      <c r="X40" s="25" t="s">
        <v>51</v>
      </c>
      <c r="Y40" s="213"/>
      <c r="Z40" s="33">
        <v>18900.0</v>
      </c>
      <c r="AA40" s="86">
        <v>0.05</v>
      </c>
      <c r="AB40" s="85">
        <f t="shared" si="15"/>
        <v>17955</v>
      </c>
      <c r="AC40" s="33"/>
      <c r="AD40" s="12"/>
      <c r="AE40" s="12"/>
      <c r="AF40" s="12"/>
      <c r="AG40" s="10"/>
      <c r="AH40" s="10">
        <f t="shared" si="16"/>
        <v>1795.5</v>
      </c>
    </row>
    <row r="41" ht="25.5" hidden="1" customHeight="1" outlineLevel="2">
      <c r="A41" s="196"/>
      <c r="B41" s="197" t="s">
        <v>82</v>
      </c>
      <c r="C41" s="197" t="s">
        <v>118</v>
      </c>
      <c r="D41" s="198"/>
      <c r="E41" s="198" t="s">
        <v>117</v>
      </c>
      <c r="F41" s="198"/>
      <c r="G41" s="199"/>
      <c r="H41" s="200"/>
      <c r="I41" s="201"/>
      <c r="J41" s="197"/>
      <c r="K41" s="202" t="s">
        <v>48</v>
      </c>
      <c r="L41" s="203">
        <f>11.45+12.99+11.45+12.99</f>
        <v>48.88</v>
      </c>
      <c r="M41" s="204"/>
      <c r="N41" s="205"/>
      <c r="O41" s="206"/>
      <c r="P41" s="207"/>
      <c r="Q41" s="202" t="s">
        <v>91</v>
      </c>
      <c r="R41" s="208"/>
      <c r="S41" s="209"/>
      <c r="T41" s="209"/>
      <c r="U41" s="209"/>
      <c r="V41" s="209"/>
      <c r="W41" s="209"/>
      <c r="X41" s="208"/>
      <c r="Y41" s="210">
        <f>IFERROR(IF(X41="RUB",W41, IF(AND(W41="",X41=""),0,W41*INDIRECT(X41))),"Выберите валюту")</f>
        <v>0</v>
      </c>
      <c r="Z41" s="211"/>
      <c r="AA41" s="212"/>
      <c r="AB41" s="211"/>
      <c r="AC41" s="202"/>
      <c r="AD41" s="203"/>
      <c r="AE41" s="203"/>
      <c r="AF41" s="203"/>
      <c r="AG41" s="203"/>
      <c r="AH41" s="203"/>
    </row>
    <row r="42" ht="25.5" hidden="1" customHeight="1" outlineLevel="2">
      <c r="A42" s="196"/>
      <c r="B42" s="197" t="s">
        <v>96</v>
      </c>
      <c r="C42" s="197" t="s">
        <v>119</v>
      </c>
      <c r="D42" s="198"/>
      <c r="E42" s="198" t="s">
        <v>117</v>
      </c>
      <c r="F42" s="198"/>
      <c r="G42" s="199"/>
      <c r="H42" s="200"/>
      <c r="I42" s="201"/>
      <c r="J42" s="197"/>
      <c r="K42" s="202" t="s">
        <v>48</v>
      </c>
      <c r="L42" s="203">
        <f>12.53+3.25+6.29+8.11</f>
        <v>30.18</v>
      </c>
      <c r="M42" s="204"/>
      <c r="N42" s="205"/>
      <c r="O42" s="206"/>
      <c r="P42" s="207"/>
      <c r="Q42" s="202"/>
      <c r="R42" s="208"/>
      <c r="S42" s="209"/>
      <c r="T42" s="209"/>
      <c r="U42" s="209"/>
      <c r="V42" s="209"/>
      <c r="W42" s="209"/>
      <c r="X42" s="208"/>
      <c r="Y42" s="210"/>
      <c r="Z42" s="211"/>
      <c r="AA42" s="212"/>
      <c r="AB42" s="211"/>
      <c r="AC42" s="202"/>
      <c r="AD42" s="203"/>
      <c r="AE42" s="203"/>
      <c r="AF42" s="203"/>
      <c r="AG42" s="203"/>
      <c r="AH42" s="203"/>
    </row>
    <row r="43" ht="47.25" customHeight="1" collapsed="1">
      <c r="A43" s="56"/>
      <c r="B43" s="56"/>
      <c r="C43" s="57"/>
      <c r="D43" s="58"/>
      <c r="E43" s="58" t="s">
        <v>120</v>
      </c>
      <c r="F43" s="58"/>
      <c r="G43" s="59"/>
      <c r="H43" s="60"/>
      <c r="I43" s="60"/>
      <c r="J43" s="60"/>
      <c r="K43" s="61"/>
      <c r="L43" s="62"/>
      <c r="M43" s="63"/>
      <c r="N43" s="64"/>
      <c r="O43" s="65"/>
      <c r="P43" s="66"/>
      <c r="Q43" s="67"/>
      <c r="R43" s="67"/>
      <c r="S43" s="70"/>
      <c r="T43" s="70"/>
      <c r="U43" s="70"/>
      <c r="V43" s="70"/>
      <c r="W43" s="70"/>
      <c r="X43" s="61"/>
      <c r="Y43" s="70"/>
      <c r="Z43" s="62">
        <f>sumif($Q44:$Q45,"Основа",Z44:Z45)</f>
        <v>33722</v>
      </c>
      <c r="AA43" s="71"/>
      <c r="AB43" s="62">
        <f>sumif($Q44:$Q45,"Основа",AB44:AB45)</f>
        <v>32035.9</v>
      </c>
      <c r="AC43" s="72"/>
      <c r="AD43" s="73"/>
      <c r="AE43" s="73"/>
      <c r="AF43" s="73"/>
      <c r="AG43" s="62"/>
      <c r="AH43" s="62">
        <f>sumif($Q44:$Q45,"Основа",AH44:AH45)</f>
        <v>3203.59</v>
      </c>
    </row>
    <row r="44" ht="29.25" hidden="1" customHeight="1" outlineLevel="1">
      <c r="A44" s="13"/>
      <c r="B44" s="74"/>
      <c r="C44" s="27"/>
      <c r="D44" s="214"/>
      <c r="E44" s="2" t="s">
        <v>121</v>
      </c>
      <c r="F44" s="215" t="s">
        <v>87</v>
      </c>
      <c r="G44" s="216" t="s">
        <v>87</v>
      </c>
      <c r="H44" s="93"/>
      <c r="I44" s="94"/>
      <c r="J44" s="27"/>
      <c r="K44" s="33" t="s">
        <v>122</v>
      </c>
      <c r="L44" s="33">
        <v>28.49</v>
      </c>
      <c r="M44" s="77">
        <v>0.1</v>
      </c>
      <c r="N44" s="78">
        <f t="shared" ref="N44:N45" si="17">L44+L44*M44</f>
        <v>31.339</v>
      </c>
      <c r="O44" s="217">
        <v>2.4</v>
      </c>
      <c r="P44" s="66">
        <f t="shared" ref="P44:P45" si="18">Roundup(N44/O44)</f>
        <v>14</v>
      </c>
      <c r="Q44" s="79" t="s">
        <v>49</v>
      </c>
      <c r="R44" s="29" t="s">
        <v>72</v>
      </c>
      <c r="S44" s="95" t="s">
        <v>122</v>
      </c>
      <c r="T44" s="95">
        <v>28.49</v>
      </c>
      <c r="U44" s="96" t="s">
        <v>49</v>
      </c>
      <c r="V44" s="96" t="s">
        <v>72</v>
      </c>
      <c r="W44" s="30">
        <v>723.0</v>
      </c>
      <c r="X44" s="31" t="s">
        <v>51</v>
      </c>
      <c r="Y44" s="84">
        <f t="shared" ref="Y44:Y57" si="19">IFERROR(IF(X44="RUB",W44, IF(AND(W44="",X44=""),0,W44*INDIRECT(X44))),"Выберите валюту")</f>
        <v>723</v>
      </c>
      <c r="Z44" s="85">
        <f t="shared" ref="Z44:Z45" si="20">Y44*P44</f>
        <v>10122</v>
      </c>
      <c r="AA44" s="86">
        <v>0.05</v>
      </c>
      <c r="AB44" s="85">
        <f t="shared" ref="AB44:AB45" si="21">Z44-Z44*AA44</f>
        <v>9615.9</v>
      </c>
      <c r="AC44" s="33"/>
      <c r="AD44" s="12"/>
      <c r="AE44" s="12"/>
      <c r="AF44" s="12"/>
      <c r="AG44" s="10"/>
      <c r="AH44" s="10">
        <f t="shared" ref="AH44:AH45" si="22">AB44*0.1</f>
        <v>961.59</v>
      </c>
    </row>
    <row r="45" ht="48.75" hidden="1" customHeight="1" outlineLevel="1">
      <c r="A45" s="13"/>
      <c r="B45" s="74" t="s">
        <v>96</v>
      </c>
      <c r="C45" s="27" t="s">
        <v>123</v>
      </c>
      <c r="D45" s="218" t="s">
        <v>123</v>
      </c>
      <c r="E45" s="2" t="s">
        <v>124</v>
      </c>
      <c r="F45" s="215" t="s">
        <v>125</v>
      </c>
      <c r="G45" s="75" t="s">
        <v>125</v>
      </c>
      <c r="H45" s="93"/>
      <c r="I45" s="94"/>
      <c r="J45" s="27"/>
      <c r="K45" s="27" t="s">
        <v>48</v>
      </c>
      <c r="L45" s="10">
        <f>6.04+2.88</f>
        <v>8.92</v>
      </c>
      <c r="M45" s="77">
        <v>0.15</v>
      </c>
      <c r="N45" s="78">
        <f t="shared" si="17"/>
        <v>10.258</v>
      </c>
      <c r="O45" s="217">
        <f>10*0.52</f>
        <v>5.2</v>
      </c>
      <c r="P45" s="66">
        <f t="shared" si="18"/>
        <v>2</v>
      </c>
      <c r="Q45" s="79" t="s">
        <v>49</v>
      </c>
      <c r="R45" s="29" t="s">
        <v>72</v>
      </c>
      <c r="S45" s="95" t="s">
        <v>48</v>
      </c>
      <c r="T45" s="95">
        <v>8.92</v>
      </c>
      <c r="U45" s="96" t="s">
        <v>49</v>
      </c>
      <c r="V45" s="96" t="s">
        <v>72</v>
      </c>
      <c r="W45" s="30">
        <v>11800.0</v>
      </c>
      <c r="X45" s="31" t="s">
        <v>51</v>
      </c>
      <c r="Y45" s="84">
        <f t="shared" si="19"/>
        <v>11800</v>
      </c>
      <c r="Z45" s="85">
        <f t="shared" si="20"/>
        <v>23600</v>
      </c>
      <c r="AA45" s="86">
        <v>0.05</v>
      </c>
      <c r="AB45" s="85">
        <f t="shared" si="21"/>
        <v>22420</v>
      </c>
      <c r="AC45" s="33"/>
      <c r="AD45" s="12"/>
      <c r="AE45" s="12"/>
      <c r="AF45" s="12"/>
      <c r="AG45" s="10"/>
      <c r="AH45" s="10">
        <f t="shared" si="22"/>
        <v>2242</v>
      </c>
    </row>
    <row r="46" ht="47.25" customHeight="1" collapsed="1">
      <c r="A46" s="56" t="str">
        <f>if(left(E46,11)="Общая сумма","Подитог","")</f>
        <v/>
      </c>
      <c r="B46" s="56"/>
      <c r="C46" s="57"/>
      <c r="D46" s="58"/>
      <c r="E46" s="58" t="s">
        <v>126</v>
      </c>
      <c r="F46" s="58"/>
      <c r="G46" s="59"/>
      <c r="H46" s="60"/>
      <c r="I46" s="60"/>
      <c r="J46" s="60"/>
      <c r="K46" s="61"/>
      <c r="L46" s="62"/>
      <c r="M46" s="63"/>
      <c r="N46" s="64"/>
      <c r="O46" s="65"/>
      <c r="P46" s="66"/>
      <c r="Q46" s="67"/>
      <c r="R46" s="67"/>
      <c r="S46" s="70"/>
      <c r="T46" s="70"/>
      <c r="U46" s="70"/>
      <c r="V46" s="70"/>
      <c r="W46" s="70"/>
      <c r="X46" s="61"/>
      <c r="Y46" s="70">
        <f t="shared" si="19"/>
        <v>0</v>
      </c>
      <c r="Z46" s="62">
        <f>SUMif($Q47:$Q57,"Основа",Z47:Z57)</f>
        <v>287627</v>
      </c>
      <c r="AA46" s="62"/>
      <c r="AB46" s="62">
        <f t="shared" ref="AB46:AF46" si="23">SUMif($Q47:$Q57,"Основа",AB47:AB57)</f>
        <v>258864.3</v>
      </c>
      <c r="AC46" s="62">
        <f t="shared" si="23"/>
        <v>0</v>
      </c>
      <c r="AD46" s="62">
        <f t="shared" si="23"/>
        <v>0</v>
      </c>
      <c r="AE46" s="62">
        <f t="shared" si="23"/>
        <v>0</v>
      </c>
      <c r="AF46" s="62">
        <f t="shared" si="23"/>
        <v>0</v>
      </c>
      <c r="AG46" s="62"/>
      <c r="AH46" s="62">
        <f>SUMif($Q47:$Q57,"Основа",AH47:AH57)</f>
        <v>25886.43</v>
      </c>
    </row>
    <row r="47" ht="15.75" hidden="1" customHeight="1" outlineLevel="1">
      <c r="A47" s="219"/>
      <c r="B47" s="220" t="s">
        <v>44</v>
      </c>
      <c r="C47" s="27" t="s">
        <v>127</v>
      </c>
      <c r="D47" s="218" t="s">
        <v>127</v>
      </c>
      <c r="E47" s="221" t="s">
        <v>128</v>
      </c>
      <c r="F47" s="215" t="s">
        <v>129</v>
      </c>
      <c r="G47" s="222" t="s">
        <v>129</v>
      </c>
      <c r="H47" s="223"/>
      <c r="I47" s="224"/>
      <c r="J47" s="223"/>
      <c r="K47" s="225" t="s">
        <v>81</v>
      </c>
      <c r="L47" s="226">
        <v>1.0</v>
      </c>
      <c r="M47" s="227"/>
      <c r="N47" s="228"/>
      <c r="O47" s="229"/>
      <c r="P47" s="66"/>
      <c r="Q47" s="230" t="s">
        <v>49</v>
      </c>
      <c r="R47" s="230"/>
      <c r="S47" s="80" t="s">
        <v>81</v>
      </c>
      <c r="T47" s="80">
        <v>1.0</v>
      </c>
      <c r="U47" s="80" t="s">
        <v>49</v>
      </c>
      <c r="V47" s="231"/>
      <c r="W47" s="225">
        <v>5937.0</v>
      </c>
      <c r="X47" s="83" t="s">
        <v>51</v>
      </c>
      <c r="Y47" s="84">
        <f t="shared" si="19"/>
        <v>5937</v>
      </c>
      <c r="Z47" s="85">
        <f>W47*L47</f>
        <v>5937</v>
      </c>
      <c r="AA47" s="86">
        <v>0.1</v>
      </c>
      <c r="AB47" s="85">
        <f>Z47-Z47*AA47</f>
        <v>5343.3</v>
      </c>
      <c r="AC47" s="232"/>
      <c r="AD47" s="233"/>
      <c r="AE47" s="233"/>
      <c r="AF47" s="12"/>
      <c r="AG47" s="10"/>
      <c r="AH47" s="10">
        <f t="shared" ref="AH47:AH57" si="24">AB47*0.1</f>
        <v>534.33</v>
      </c>
    </row>
    <row r="48" hidden="1" outlineLevel="1">
      <c r="A48" s="234"/>
      <c r="B48" s="235" t="s">
        <v>89</v>
      </c>
      <c r="C48" s="236" t="s">
        <v>130</v>
      </c>
      <c r="D48" s="237" t="s">
        <v>130</v>
      </c>
      <c r="E48" s="238" t="s">
        <v>131</v>
      </c>
      <c r="F48" s="239" t="s">
        <v>132</v>
      </c>
      <c r="G48" s="240" t="s">
        <v>132</v>
      </c>
      <c r="H48" s="241"/>
      <c r="I48" s="242"/>
      <c r="J48" s="241"/>
      <c r="K48" s="243" t="s">
        <v>81</v>
      </c>
      <c r="L48" s="244">
        <v>1.0</v>
      </c>
      <c r="M48" s="245"/>
      <c r="N48" s="246"/>
      <c r="O48" s="245"/>
      <c r="P48" s="247"/>
      <c r="Q48" s="248" t="s">
        <v>133</v>
      </c>
      <c r="R48" s="248"/>
      <c r="S48" s="249" t="s">
        <v>81</v>
      </c>
      <c r="T48" s="249">
        <v>1.0</v>
      </c>
      <c r="U48" s="249" t="s">
        <v>133</v>
      </c>
      <c r="V48" s="250"/>
      <c r="W48" s="243">
        <v>92990.0</v>
      </c>
      <c r="X48" s="251" t="s">
        <v>51</v>
      </c>
      <c r="Y48" s="252">
        <f t="shared" si="19"/>
        <v>92990</v>
      </c>
      <c r="Z48" s="253">
        <f t="shared" ref="Z48:Z57" si="25">if(and($B48="",$E48&lt;&gt;"",$G48="",$L48="",$W48=""),sumifs(Z:Z,$Q:$Q,"Основа",#REF!,#REF!),if(and($B48&lt;&gt;"",$E48="",$G48="",$L48="",$W48=""),sumifs(Z:Z,$Q:$Q,"Основа",#REF!,#REF!,#REF!,#REF!),$L48*$Y48))</f>
        <v>92990</v>
      </c>
      <c r="AA48" s="254">
        <v>0.1</v>
      </c>
      <c r="AB48" s="253">
        <f t="shared" ref="AB48:AB52" si="26">if(and($B48="",$E48&lt;&gt;"",$G48="",$L48="",$W48=""),sumifs(AB:AB,$Q:$Q,"Основа",#REF!,#REF!),if(and($B48&lt;&gt;"",$E48="",$G48="",$L48="",$W48=""),sumifs(AB:AB,$Q:$Q,"Основа",#REF!,#REF!,#REF!,#REF!),$L48*$W48*(1-$AA48)))</f>
        <v>83691</v>
      </c>
      <c r="AC48" s="255"/>
      <c r="AD48" s="256"/>
      <c r="AE48" s="256"/>
      <c r="AF48" s="257"/>
      <c r="AG48" s="258"/>
      <c r="AH48" s="258">
        <f t="shared" si="24"/>
        <v>8369.1</v>
      </c>
    </row>
    <row r="49" hidden="1" outlineLevel="1">
      <c r="A49" s="234"/>
      <c r="B49" s="235" t="s">
        <v>89</v>
      </c>
      <c r="C49" s="236" t="s">
        <v>134</v>
      </c>
      <c r="D49" s="237" t="s">
        <v>134</v>
      </c>
      <c r="E49" s="238" t="s">
        <v>135</v>
      </c>
      <c r="F49" s="239" t="s">
        <v>136</v>
      </c>
      <c r="G49" s="240" t="s">
        <v>136</v>
      </c>
      <c r="H49" s="241"/>
      <c r="I49" s="242"/>
      <c r="J49" s="241"/>
      <c r="K49" s="243" t="s">
        <v>81</v>
      </c>
      <c r="L49" s="244">
        <v>2.0</v>
      </c>
      <c r="M49" s="245"/>
      <c r="N49" s="246"/>
      <c r="O49" s="245"/>
      <c r="P49" s="247"/>
      <c r="Q49" s="248" t="s">
        <v>133</v>
      </c>
      <c r="R49" s="248"/>
      <c r="S49" s="249" t="s">
        <v>81</v>
      </c>
      <c r="T49" s="249">
        <v>2.0</v>
      </c>
      <c r="U49" s="249" t="s">
        <v>133</v>
      </c>
      <c r="V49" s="250"/>
      <c r="W49" s="243">
        <v>26900.0</v>
      </c>
      <c r="X49" s="251" t="s">
        <v>51</v>
      </c>
      <c r="Y49" s="252">
        <f t="shared" si="19"/>
        <v>26900</v>
      </c>
      <c r="Z49" s="253">
        <f t="shared" si="25"/>
        <v>53800</v>
      </c>
      <c r="AA49" s="254">
        <v>0.1</v>
      </c>
      <c r="AB49" s="253">
        <f t="shared" si="26"/>
        <v>48420</v>
      </c>
      <c r="AC49" s="255"/>
      <c r="AD49" s="256"/>
      <c r="AE49" s="256"/>
      <c r="AF49" s="257"/>
      <c r="AG49" s="258"/>
      <c r="AH49" s="258">
        <f t="shared" si="24"/>
        <v>4842</v>
      </c>
    </row>
    <row r="50" hidden="1" outlineLevel="1">
      <c r="A50" s="219"/>
      <c r="B50" s="220" t="s">
        <v>89</v>
      </c>
      <c r="C50" s="27" t="s">
        <v>137</v>
      </c>
      <c r="D50" s="218" t="s">
        <v>137</v>
      </c>
      <c r="E50" s="259" t="s">
        <v>138</v>
      </c>
      <c r="F50" s="260" t="s">
        <v>136</v>
      </c>
      <c r="G50" s="261" t="s">
        <v>136</v>
      </c>
      <c r="H50" s="262"/>
      <c r="I50" s="263"/>
      <c r="J50" s="262"/>
      <c r="K50" s="264" t="s">
        <v>81</v>
      </c>
      <c r="L50" s="265">
        <v>1.0</v>
      </c>
      <c r="M50" s="266"/>
      <c r="N50" s="267"/>
      <c r="O50" s="229"/>
      <c r="P50" s="66"/>
      <c r="Q50" s="230" t="s">
        <v>49</v>
      </c>
      <c r="R50" s="230"/>
      <c r="S50" s="268" t="s">
        <v>81</v>
      </c>
      <c r="T50" s="268">
        <v>1.0</v>
      </c>
      <c r="U50" s="268" t="s">
        <v>49</v>
      </c>
      <c r="V50" s="269"/>
      <c r="W50" s="264">
        <v>28300.0</v>
      </c>
      <c r="X50" s="270" t="s">
        <v>51</v>
      </c>
      <c r="Y50" s="84">
        <f t="shared" si="19"/>
        <v>28300</v>
      </c>
      <c r="Z50" s="271">
        <f t="shared" si="25"/>
        <v>28300</v>
      </c>
      <c r="AA50" s="86">
        <v>0.1</v>
      </c>
      <c r="AB50" s="271">
        <f t="shared" si="26"/>
        <v>25470</v>
      </c>
      <c r="AC50" s="232"/>
      <c r="AD50" s="233"/>
      <c r="AE50" s="233"/>
      <c r="AF50" s="12"/>
      <c r="AG50" s="10"/>
      <c r="AH50" s="10">
        <f t="shared" si="24"/>
        <v>2547</v>
      </c>
    </row>
    <row r="51" hidden="1" outlineLevel="1">
      <c r="A51" s="219"/>
      <c r="B51" s="220" t="s">
        <v>89</v>
      </c>
      <c r="C51" s="27" t="s">
        <v>139</v>
      </c>
      <c r="D51" s="218" t="s">
        <v>139</v>
      </c>
      <c r="E51" s="259" t="s">
        <v>140</v>
      </c>
      <c r="F51" s="260" t="s">
        <v>136</v>
      </c>
      <c r="G51" s="261" t="s">
        <v>136</v>
      </c>
      <c r="H51" s="262"/>
      <c r="I51" s="263"/>
      <c r="J51" s="262"/>
      <c r="K51" s="264" t="s">
        <v>81</v>
      </c>
      <c r="L51" s="265">
        <v>1.0</v>
      </c>
      <c r="M51" s="266"/>
      <c r="N51" s="267"/>
      <c r="O51" s="229"/>
      <c r="P51" s="66"/>
      <c r="Q51" s="230" t="s">
        <v>49</v>
      </c>
      <c r="R51" s="230"/>
      <c r="S51" s="268" t="s">
        <v>81</v>
      </c>
      <c r="T51" s="268">
        <v>1.0</v>
      </c>
      <c r="U51" s="268" t="s">
        <v>49</v>
      </c>
      <c r="V51" s="269"/>
      <c r="W51" s="264">
        <v>15600.0</v>
      </c>
      <c r="X51" s="270" t="s">
        <v>51</v>
      </c>
      <c r="Y51" s="84">
        <f t="shared" si="19"/>
        <v>15600</v>
      </c>
      <c r="Z51" s="271">
        <f t="shared" si="25"/>
        <v>15600</v>
      </c>
      <c r="AA51" s="86">
        <v>0.1</v>
      </c>
      <c r="AB51" s="271">
        <f t="shared" si="26"/>
        <v>14040</v>
      </c>
      <c r="AC51" s="232"/>
      <c r="AD51" s="233"/>
      <c r="AE51" s="233"/>
      <c r="AF51" s="12"/>
      <c r="AG51" s="10"/>
      <c r="AH51" s="10">
        <f t="shared" si="24"/>
        <v>1404</v>
      </c>
    </row>
    <row r="52" hidden="1" outlineLevel="1">
      <c r="A52" s="219"/>
      <c r="B52" s="220" t="s">
        <v>89</v>
      </c>
      <c r="C52" s="27" t="s">
        <v>141</v>
      </c>
      <c r="D52" s="218" t="s">
        <v>141</v>
      </c>
      <c r="E52" s="272" t="s">
        <v>142</v>
      </c>
      <c r="F52" s="260" t="s">
        <v>136</v>
      </c>
      <c r="G52" s="273" t="s">
        <v>136</v>
      </c>
      <c r="H52" s="262"/>
      <c r="I52" s="263"/>
      <c r="J52" s="262"/>
      <c r="K52" s="264" t="s">
        <v>81</v>
      </c>
      <c r="L52" s="265">
        <v>1.0</v>
      </c>
      <c r="M52" s="266"/>
      <c r="N52" s="267"/>
      <c r="O52" s="229"/>
      <c r="P52" s="66"/>
      <c r="Q52" s="230" t="s">
        <v>49</v>
      </c>
      <c r="R52" s="230"/>
      <c r="S52" s="268" t="s">
        <v>81</v>
      </c>
      <c r="T52" s="268">
        <v>1.0</v>
      </c>
      <c r="U52" s="268" t="s">
        <v>49</v>
      </c>
      <c r="V52" s="269"/>
      <c r="W52" s="230">
        <v>26700.0</v>
      </c>
      <c r="X52" s="270" t="s">
        <v>51</v>
      </c>
      <c r="Y52" s="84">
        <f t="shared" si="19"/>
        <v>26700</v>
      </c>
      <c r="Z52" s="271">
        <f t="shared" si="25"/>
        <v>26700</v>
      </c>
      <c r="AA52" s="86">
        <v>0.1</v>
      </c>
      <c r="AB52" s="271">
        <f t="shared" si="26"/>
        <v>24030</v>
      </c>
      <c r="AC52" s="232"/>
      <c r="AD52" s="233"/>
      <c r="AE52" s="233"/>
      <c r="AF52" s="12"/>
      <c r="AG52" s="10"/>
      <c r="AH52" s="10">
        <f t="shared" si="24"/>
        <v>2403</v>
      </c>
    </row>
    <row r="53" hidden="1" outlineLevel="1">
      <c r="A53" s="219"/>
      <c r="B53" s="220" t="s">
        <v>74</v>
      </c>
      <c r="C53" s="27" t="s">
        <v>143</v>
      </c>
      <c r="D53" s="218" t="s">
        <v>143</v>
      </c>
      <c r="E53" s="259" t="s">
        <v>144</v>
      </c>
      <c r="F53" s="215" t="s">
        <v>145</v>
      </c>
      <c r="G53" s="261" t="s">
        <v>145</v>
      </c>
      <c r="H53" s="262"/>
      <c r="I53" s="263"/>
      <c r="J53" s="262"/>
      <c r="K53" s="264" t="s">
        <v>81</v>
      </c>
      <c r="L53" s="265" t="s">
        <v>146</v>
      </c>
      <c r="M53" s="266"/>
      <c r="N53" s="267"/>
      <c r="O53" s="229"/>
      <c r="P53" s="66"/>
      <c r="Q53" s="230" t="s">
        <v>49</v>
      </c>
      <c r="R53" s="230"/>
      <c r="S53" s="80" t="s">
        <v>81</v>
      </c>
      <c r="T53" s="80">
        <v>1.0</v>
      </c>
      <c r="U53" s="80" t="s">
        <v>49</v>
      </c>
      <c r="V53" s="231"/>
      <c r="W53" s="264">
        <v>52785.0</v>
      </c>
      <c r="X53" s="270" t="s">
        <v>51</v>
      </c>
      <c r="Y53" s="84">
        <f t="shared" si="19"/>
        <v>52785</v>
      </c>
      <c r="Z53" s="271">
        <f t="shared" si="25"/>
        <v>52785</v>
      </c>
      <c r="AA53" s="86">
        <v>0.1</v>
      </c>
      <c r="AB53" s="85">
        <f t="shared" ref="AB53:AB57" si="27">Z53-Z53*AA53</f>
        <v>47506.5</v>
      </c>
      <c r="AC53" s="232"/>
      <c r="AD53" s="233"/>
      <c r="AE53" s="233"/>
      <c r="AF53" s="12"/>
      <c r="AG53" s="10"/>
      <c r="AH53" s="10">
        <f t="shared" si="24"/>
        <v>4750.65</v>
      </c>
    </row>
    <row r="54" hidden="1" outlineLevel="1">
      <c r="A54" s="219"/>
      <c r="B54" s="220" t="s">
        <v>74</v>
      </c>
      <c r="C54" s="27" t="s">
        <v>147</v>
      </c>
      <c r="D54" s="218" t="s">
        <v>147</v>
      </c>
      <c r="E54" s="272" t="s">
        <v>148</v>
      </c>
      <c r="F54" s="215" t="s">
        <v>149</v>
      </c>
      <c r="G54" s="261" t="s">
        <v>149</v>
      </c>
      <c r="H54" s="262"/>
      <c r="I54" s="263"/>
      <c r="J54" s="262"/>
      <c r="K54" s="264" t="s">
        <v>81</v>
      </c>
      <c r="L54" s="265" t="s">
        <v>150</v>
      </c>
      <c r="M54" s="266"/>
      <c r="N54" s="267"/>
      <c r="O54" s="229"/>
      <c r="P54" s="66"/>
      <c r="Q54" s="230" t="s">
        <v>49</v>
      </c>
      <c r="R54" s="230"/>
      <c r="S54" s="80" t="s">
        <v>81</v>
      </c>
      <c r="T54" s="80">
        <v>4.0</v>
      </c>
      <c r="U54" s="80" t="s">
        <v>49</v>
      </c>
      <c r="V54" s="231"/>
      <c r="W54" s="264">
        <v>23741.0</v>
      </c>
      <c r="X54" s="270" t="s">
        <v>51</v>
      </c>
      <c r="Y54" s="84">
        <f t="shared" si="19"/>
        <v>23741</v>
      </c>
      <c r="Z54" s="271">
        <f t="shared" si="25"/>
        <v>94964</v>
      </c>
      <c r="AA54" s="86">
        <v>0.1</v>
      </c>
      <c r="AB54" s="85">
        <f t="shared" si="27"/>
        <v>85467.6</v>
      </c>
      <c r="AC54" s="232"/>
      <c r="AD54" s="233"/>
      <c r="AE54" s="233"/>
      <c r="AF54" s="12"/>
      <c r="AG54" s="10"/>
      <c r="AH54" s="10">
        <f t="shared" si="24"/>
        <v>8546.76</v>
      </c>
    </row>
    <row r="55" hidden="1" outlineLevel="1">
      <c r="A55" s="219"/>
      <c r="B55" s="274" t="s">
        <v>82</v>
      </c>
      <c r="C55" s="26" t="s">
        <v>151</v>
      </c>
      <c r="D55" s="218" t="s">
        <v>151</v>
      </c>
      <c r="E55" s="259" t="s">
        <v>152</v>
      </c>
      <c r="F55" s="215" t="s">
        <v>149</v>
      </c>
      <c r="G55" s="75" t="s">
        <v>149</v>
      </c>
      <c r="H55" s="275"/>
      <c r="I55" s="275"/>
      <c r="J55" s="275"/>
      <c r="K55" s="26" t="s">
        <v>81</v>
      </c>
      <c r="L55" s="226">
        <v>1.0</v>
      </c>
      <c r="M55" s="227"/>
      <c r="N55" s="228"/>
      <c r="O55" s="229"/>
      <c r="P55" s="66"/>
      <c r="Q55" s="230" t="s">
        <v>49</v>
      </c>
      <c r="R55" s="230"/>
      <c r="S55" s="80" t="s">
        <v>81</v>
      </c>
      <c r="T55" s="80">
        <v>1.0</v>
      </c>
      <c r="U55" s="80" t="s">
        <v>49</v>
      </c>
      <c r="V55" s="231"/>
      <c r="W55" s="82">
        <v>23741.0</v>
      </c>
      <c r="X55" s="276" t="s">
        <v>51</v>
      </c>
      <c r="Y55" s="84">
        <f t="shared" si="19"/>
        <v>23741</v>
      </c>
      <c r="Z55" s="271">
        <f t="shared" si="25"/>
        <v>23741</v>
      </c>
      <c r="AA55" s="86">
        <v>0.1</v>
      </c>
      <c r="AB55" s="85">
        <f t="shared" si="27"/>
        <v>21366.9</v>
      </c>
      <c r="AC55" s="232"/>
      <c r="AD55" s="233"/>
      <c r="AE55" s="233"/>
      <c r="AF55" s="12"/>
      <c r="AG55" s="10"/>
      <c r="AH55" s="10">
        <f t="shared" si="24"/>
        <v>2136.69</v>
      </c>
    </row>
    <row r="56" ht="16.5" hidden="1" customHeight="1" outlineLevel="1">
      <c r="A56" s="219"/>
      <c r="B56" s="220" t="s">
        <v>96</v>
      </c>
      <c r="C56" s="27" t="s">
        <v>153</v>
      </c>
      <c r="D56" s="218" t="s">
        <v>153</v>
      </c>
      <c r="E56" s="259" t="s">
        <v>152</v>
      </c>
      <c r="F56" s="215" t="s">
        <v>154</v>
      </c>
      <c r="G56" s="75" t="s">
        <v>154</v>
      </c>
      <c r="H56" s="277"/>
      <c r="I56" s="277"/>
      <c r="J56" s="277"/>
      <c r="K56" s="26" t="s">
        <v>81</v>
      </c>
      <c r="L56" s="278" t="s">
        <v>146</v>
      </c>
      <c r="M56" s="279"/>
      <c r="N56" s="280"/>
      <c r="O56" s="281"/>
      <c r="P56" s="282"/>
      <c r="Q56" s="230" t="s">
        <v>49</v>
      </c>
      <c r="R56" s="230"/>
      <c r="S56" s="95" t="s">
        <v>81</v>
      </c>
      <c r="T56" s="283">
        <v>1.0</v>
      </c>
      <c r="U56" s="95" t="s">
        <v>49</v>
      </c>
      <c r="V56" s="103"/>
      <c r="W56" s="100">
        <v>23700.0</v>
      </c>
      <c r="X56" s="276" t="s">
        <v>51</v>
      </c>
      <c r="Y56" s="84">
        <f t="shared" si="19"/>
        <v>23700</v>
      </c>
      <c r="Z56" s="271">
        <f t="shared" si="25"/>
        <v>23700</v>
      </c>
      <c r="AA56" s="86">
        <v>0.1</v>
      </c>
      <c r="AB56" s="85">
        <f t="shared" si="27"/>
        <v>21330</v>
      </c>
      <c r="AC56" s="232"/>
      <c r="AD56" s="233"/>
      <c r="AE56" s="233"/>
      <c r="AF56" s="12"/>
      <c r="AG56" s="10"/>
      <c r="AH56" s="10">
        <f t="shared" si="24"/>
        <v>2133</v>
      </c>
    </row>
    <row r="57" ht="19.5" hidden="1" customHeight="1" outlineLevel="1">
      <c r="A57" s="219"/>
      <c r="B57" s="220" t="s">
        <v>96</v>
      </c>
      <c r="C57" s="27" t="s">
        <v>155</v>
      </c>
      <c r="D57" s="218" t="s">
        <v>155</v>
      </c>
      <c r="E57" s="14" t="s">
        <v>156</v>
      </c>
      <c r="F57" s="215" t="s">
        <v>157</v>
      </c>
      <c r="G57" s="75" t="s">
        <v>157</v>
      </c>
      <c r="H57" s="277"/>
      <c r="I57" s="277"/>
      <c r="J57" s="277"/>
      <c r="K57" s="26" t="s">
        <v>81</v>
      </c>
      <c r="L57" s="278" t="s">
        <v>146</v>
      </c>
      <c r="M57" s="279"/>
      <c r="N57" s="280"/>
      <c r="O57" s="281"/>
      <c r="P57" s="282"/>
      <c r="Q57" s="230" t="s">
        <v>49</v>
      </c>
      <c r="R57" s="230"/>
      <c r="S57" s="95" t="s">
        <v>81</v>
      </c>
      <c r="T57" s="283">
        <v>1.0</v>
      </c>
      <c r="U57" s="95" t="s">
        <v>49</v>
      </c>
      <c r="V57" s="103"/>
      <c r="W57" s="100">
        <v>15900.0</v>
      </c>
      <c r="X57" s="276" t="s">
        <v>51</v>
      </c>
      <c r="Y57" s="84">
        <f t="shared" si="19"/>
        <v>15900</v>
      </c>
      <c r="Z57" s="271">
        <f t="shared" si="25"/>
        <v>15900</v>
      </c>
      <c r="AA57" s="86">
        <v>0.1</v>
      </c>
      <c r="AB57" s="85">
        <f t="shared" si="27"/>
        <v>14310</v>
      </c>
      <c r="AC57" s="232"/>
      <c r="AD57" s="233"/>
      <c r="AE57" s="233"/>
      <c r="AF57" s="12"/>
      <c r="AG57" s="10"/>
      <c r="AH57" s="10">
        <f t="shared" si="24"/>
        <v>1431</v>
      </c>
    </row>
    <row r="58" ht="47.25" customHeight="1" collapsed="1">
      <c r="A58" s="56" t="str">
        <f>if(left(E58,11)="Общая сумма","Подитог","")</f>
        <v/>
      </c>
      <c r="B58" s="56"/>
      <c r="C58" s="57"/>
      <c r="D58" s="58"/>
      <c r="E58" s="58" t="s">
        <v>158</v>
      </c>
      <c r="F58" s="58"/>
      <c r="G58" s="59"/>
      <c r="H58" s="60"/>
      <c r="I58" s="60"/>
      <c r="J58" s="60"/>
      <c r="K58" s="61"/>
      <c r="L58" s="62"/>
      <c r="M58" s="63"/>
      <c r="N58" s="64"/>
      <c r="O58" s="65"/>
      <c r="P58" s="66"/>
      <c r="Q58" s="67"/>
      <c r="R58" s="67"/>
      <c r="S58" s="70"/>
      <c r="T58" s="70"/>
      <c r="U58" s="70"/>
      <c r="V58" s="70"/>
      <c r="W58" s="70"/>
      <c r="X58" s="61"/>
      <c r="Y58" s="70"/>
      <c r="Z58" s="62">
        <f>SUMIF($Q59:$Q95,"Основа",Z59:Z95)</f>
        <v>1307000</v>
      </c>
      <c r="AA58" s="71"/>
      <c r="AB58" s="62">
        <f>SUMIF($Q59:$Q95,"Основа",AB59:AB95)</f>
        <v>1092150</v>
      </c>
      <c r="AC58" s="72"/>
      <c r="AD58" s="73" t="str">
        <f>sumifs(AD59:AD$233,#REF!,$E58,$Q59:$Q$233,"Основа")</f>
        <v>#VALUE!</v>
      </c>
      <c r="AE58" s="73"/>
      <c r="AF58" s="73"/>
      <c r="AG58" s="62"/>
      <c r="AH58" s="62">
        <f>SUMIF($Q59:$Q95,"Основа",AH59:AH95)</f>
        <v>109215</v>
      </c>
    </row>
    <row r="59" hidden="1" outlineLevel="1">
      <c r="A59" s="219"/>
      <c r="B59" s="220" t="s">
        <v>44</v>
      </c>
      <c r="C59" s="284" t="s">
        <v>159</v>
      </c>
      <c r="D59" s="285" t="s">
        <v>159</v>
      </c>
      <c r="E59" s="259" t="s">
        <v>160</v>
      </c>
      <c r="F59" s="215" t="s">
        <v>161</v>
      </c>
      <c r="G59" s="75" t="s">
        <v>161</v>
      </c>
      <c r="H59" s="277"/>
      <c r="I59" s="277"/>
      <c r="J59" s="277"/>
      <c r="K59" s="277" t="s">
        <v>81</v>
      </c>
      <c r="L59" s="278">
        <v>1.0</v>
      </c>
      <c r="M59" s="279"/>
      <c r="N59" s="280"/>
      <c r="O59" s="281"/>
      <c r="P59" s="282"/>
      <c r="Q59" s="230" t="s">
        <v>133</v>
      </c>
      <c r="R59" s="230"/>
      <c r="S59" s="286" t="s">
        <v>81</v>
      </c>
      <c r="T59" s="286">
        <v>1.0</v>
      </c>
      <c r="U59" s="287" t="s">
        <v>133</v>
      </c>
      <c r="V59" s="288"/>
      <c r="W59" s="289">
        <v>180000.0</v>
      </c>
      <c r="X59" s="276" t="s">
        <v>51</v>
      </c>
      <c r="Y59" s="84">
        <f t="shared" ref="Y59:Y93" si="28">IFERROR(IF(X59="RUB",W59, IF(AND(W59="",X59=""),0,W59*INDIRECT(X59))),"Выберите валюту")</f>
        <v>180000</v>
      </c>
      <c r="Z59" s="271">
        <f t="shared" ref="Z59:Z93" si="29">if(and($B59="",$E59&lt;&gt;"",$G59="",$L59="",$W59=""),sumifs(Z:Z,$Q:$Q,"Основа",#REF!,#REF!),if(and($B59&lt;&gt;"",$E59="",$G59="",$L59="",$W59=""),sumifs(Z:Z,$Q:$Q,"Основа",#REF!,#REF!,#REF!,#REF!),$L59*$Y59))</f>
        <v>180000</v>
      </c>
      <c r="AA59" s="290">
        <v>0.15</v>
      </c>
      <c r="AB59" s="85">
        <f t="shared" ref="AB59:AB93" si="30">Z59-Z59*AA59</f>
        <v>153000</v>
      </c>
      <c r="AC59" s="232"/>
      <c r="AD59" s="233"/>
      <c r="AE59" s="233"/>
      <c r="AF59" s="12"/>
      <c r="AG59" s="10"/>
      <c r="AH59" s="10">
        <f t="shared" ref="AH59:AH60" si="31">AB59*0</f>
        <v>0</v>
      </c>
    </row>
    <row r="60" hidden="1" outlineLevel="1">
      <c r="A60" s="219"/>
      <c r="B60" s="220" t="s">
        <v>44</v>
      </c>
      <c r="C60" s="284" t="s">
        <v>162</v>
      </c>
      <c r="D60" s="285" t="s">
        <v>162</v>
      </c>
      <c r="E60" s="259" t="s">
        <v>163</v>
      </c>
      <c r="F60" s="215" t="s">
        <v>161</v>
      </c>
      <c r="G60" s="75" t="s">
        <v>161</v>
      </c>
      <c r="H60" s="277"/>
      <c r="I60" s="277"/>
      <c r="J60" s="277"/>
      <c r="K60" s="277" t="s">
        <v>81</v>
      </c>
      <c r="L60" s="278">
        <v>1.0</v>
      </c>
      <c r="M60" s="279"/>
      <c r="N60" s="280"/>
      <c r="O60" s="281"/>
      <c r="P60" s="282"/>
      <c r="Q60" s="230" t="s">
        <v>133</v>
      </c>
      <c r="R60" s="230"/>
      <c r="S60" s="286" t="s">
        <v>81</v>
      </c>
      <c r="T60" s="286">
        <v>1.0</v>
      </c>
      <c r="U60" s="287" t="s">
        <v>133</v>
      </c>
      <c r="V60" s="288"/>
      <c r="W60" s="289">
        <v>150000.0</v>
      </c>
      <c r="X60" s="276" t="s">
        <v>51</v>
      </c>
      <c r="Y60" s="84">
        <f t="shared" si="28"/>
        <v>150000</v>
      </c>
      <c r="Z60" s="271">
        <f t="shared" si="29"/>
        <v>150000</v>
      </c>
      <c r="AA60" s="290">
        <v>0.15</v>
      </c>
      <c r="AB60" s="85">
        <f t="shared" si="30"/>
        <v>127500</v>
      </c>
      <c r="AC60" s="232"/>
      <c r="AD60" s="233"/>
      <c r="AE60" s="233"/>
      <c r="AF60" s="12"/>
      <c r="AG60" s="10"/>
      <c r="AH60" s="10">
        <f t="shared" si="31"/>
        <v>0</v>
      </c>
    </row>
    <row r="61" hidden="1" outlineLevel="1">
      <c r="A61" s="219"/>
      <c r="B61" s="291" t="s">
        <v>44</v>
      </c>
      <c r="C61" s="292" t="s">
        <v>164</v>
      </c>
      <c r="D61" s="293" t="s">
        <v>164</v>
      </c>
      <c r="E61" s="108" t="s">
        <v>165</v>
      </c>
      <c r="F61" s="294" t="s">
        <v>166</v>
      </c>
      <c r="G61" s="109" t="s">
        <v>166</v>
      </c>
      <c r="H61" s="295"/>
      <c r="I61" s="295"/>
      <c r="J61" s="295"/>
      <c r="K61" s="296" t="s">
        <v>81</v>
      </c>
      <c r="L61" s="297" t="s">
        <v>146</v>
      </c>
      <c r="M61" s="298"/>
      <c r="N61" s="299"/>
      <c r="O61" s="298"/>
      <c r="P61" s="300"/>
      <c r="Q61" s="301" t="s">
        <v>49</v>
      </c>
      <c r="R61" s="301"/>
      <c r="S61" s="302" t="s">
        <v>81</v>
      </c>
      <c r="T61" s="302">
        <v>1.0</v>
      </c>
      <c r="U61" s="303" t="s">
        <v>49</v>
      </c>
      <c r="V61" s="304"/>
      <c r="W61" s="305">
        <v>25000.0</v>
      </c>
      <c r="X61" s="296" t="s">
        <v>51</v>
      </c>
      <c r="Y61" s="125">
        <f t="shared" si="28"/>
        <v>25000</v>
      </c>
      <c r="Z61" s="126">
        <f t="shared" si="29"/>
        <v>25000</v>
      </c>
      <c r="AA61" s="127">
        <v>0.2</v>
      </c>
      <c r="AB61" s="126">
        <f t="shared" si="30"/>
        <v>20000</v>
      </c>
      <c r="AC61" s="306"/>
      <c r="AD61" s="307"/>
      <c r="AE61" s="307"/>
      <c r="AF61" s="129"/>
      <c r="AG61" s="112"/>
      <c r="AH61" s="112">
        <f t="shared" ref="AH61:AH79" si="32">AB61*0.1</f>
        <v>2000</v>
      </c>
    </row>
    <row r="62" hidden="1" outlineLevel="1">
      <c r="A62" s="219"/>
      <c r="B62" s="291" t="s">
        <v>52</v>
      </c>
      <c r="C62" s="292" t="s">
        <v>167</v>
      </c>
      <c r="D62" s="293" t="s">
        <v>167</v>
      </c>
      <c r="E62" s="108" t="s">
        <v>168</v>
      </c>
      <c r="F62" s="294" t="s">
        <v>166</v>
      </c>
      <c r="G62" s="109" t="s">
        <v>166</v>
      </c>
      <c r="H62" s="295"/>
      <c r="I62" s="295"/>
      <c r="J62" s="295"/>
      <c r="K62" s="296" t="s">
        <v>81</v>
      </c>
      <c r="L62" s="297" t="s">
        <v>146</v>
      </c>
      <c r="M62" s="298"/>
      <c r="N62" s="299"/>
      <c r="O62" s="298"/>
      <c r="P62" s="300"/>
      <c r="Q62" s="301" t="s">
        <v>49</v>
      </c>
      <c r="R62" s="301"/>
      <c r="S62" s="302" t="s">
        <v>81</v>
      </c>
      <c r="T62" s="302">
        <v>1.0</v>
      </c>
      <c r="U62" s="303" t="s">
        <v>49</v>
      </c>
      <c r="V62" s="304"/>
      <c r="W62" s="305">
        <v>40000.0</v>
      </c>
      <c r="X62" s="296" t="s">
        <v>51</v>
      </c>
      <c r="Y62" s="125">
        <f t="shared" si="28"/>
        <v>40000</v>
      </c>
      <c r="Z62" s="126">
        <f t="shared" si="29"/>
        <v>40000</v>
      </c>
      <c r="AA62" s="127">
        <v>0.2</v>
      </c>
      <c r="AB62" s="126">
        <f t="shared" si="30"/>
        <v>32000</v>
      </c>
      <c r="AC62" s="306"/>
      <c r="AD62" s="307"/>
      <c r="AE62" s="307"/>
      <c r="AF62" s="129"/>
      <c r="AG62" s="112"/>
      <c r="AH62" s="112">
        <f t="shared" si="32"/>
        <v>3200</v>
      </c>
    </row>
    <row r="63" hidden="1" outlineLevel="1">
      <c r="A63" s="219"/>
      <c r="B63" s="291" t="s">
        <v>52</v>
      </c>
      <c r="C63" s="292" t="s">
        <v>169</v>
      </c>
      <c r="D63" s="293" t="s">
        <v>169</v>
      </c>
      <c r="E63" s="108" t="s">
        <v>170</v>
      </c>
      <c r="F63" s="308" t="s">
        <v>166</v>
      </c>
      <c r="G63" s="109" t="s">
        <v>166</v>
      </c>
      <c r="H63" s="295"/>
      <c r="I63" s="295"/>
      <c r="J63" s="295"/>
      <c r="K63" s="296" t="s">
        <v>81</v>
      </c>
      <c r="L63" s="297" t="s">
        <v>146</v>
      </c>
      <c r="M63" s="298"/>
      <c r="N63" s="299"/>
      <c r="O63" s="298"/>
      <c r="P63" s="300"/>
      <c r="Q63" s="301" t="s">
        <v>49</v>
      </c>
      <c r="R63" s="301"/>
      <c r="S63" s="302" t="s">
        <v>81</v>
      </c>
      <c r="T63" s="302">
        <v>1.0</v>
      </c>
      <c r="U63" s="303" t="s">
        <v>49</v>
      </c>
      <c r="V63" s="304"/>
      <c r="W63" s="305">
        <v>180000.0</v>
      </c>
      <c r="X63" s="296" t="s">
        <v>51</v>
      </c>
      <c r="Y63" s="125">
        <f t="shared" si="28"/>
        <v>180000</v>
      </c>
      <c r="Z63" s="126">
        <f t="shared" si="29"/>
        <v>180000</v>
      </c>
      <c r="AA63" s="127">
        <v>0.2</v>
      </c>
      <c r="AB63" s="126">
        <f t="shared" si="30"/>
        <v>144000</v>
      </c>
      <c r="AC63" s="306"/>
      <c r="AD63" s="307"/>
      <c r="AE63" s="307"/>
      <c r="AF63" s="129"/>
      <c r="AG63" s="112"/>
      <c r="AH63" s="112">
        <f t="shared" si="32"/>
        <v>14400</v>
      </c>
    </row>
    <row r="64" hidden="1" outlineLevel="1">
      <c r="A64" s="219"/>
      <c r="B64" s="291" t="s">
        <v>52</v>
      </c>
      <c r="C64" s="292" t="s">
        <v>171</v>
      </c>
      <c r="D64" s="293" t="s">
        <v>171</v>
      </c>
      <c r="E64" s="309" t="s">
        <v>172</v>
      </c>
      <c r="F64" s="294" t="s">
        <v>161</v>
      </c>
      <c r="G64" s="109" t="s">
        <v>161</v>
      </c>
      <c r="H64" s="295"/>
      <c r="I64" s="295"/>
      <c r="J64" s="295"/>
      <c r="K64" s="295" t="s">
        <v>81</v>
      </c>
      <c r="L64" s="297">
        <v>1.0</v>
      </c>
      <c r="M64" s="298"/>
      <c r="N64" s="299"/>
      <c r="O64" s="298"/>
      <c r="P64" s="300"/>
      <c r="Q64" s="301" t="s">
        <v>49</v>
      </c>
      <c r="R64" s="301"/>
      <c r="S64" s="302" t="s">
        <v>81</v>
      </c>
      <c r="T64" s="302">
        <v>1.0</v>
      </c>
      <c r="U64" s="303" t="s">
        <v>49</v>
      </c>
      <c r="V64" s="304"/>
      <c r="W64" s="305">
        <v>18000.0</v>
      </c>
      <c r="X64" s="296" t="s">
        <v>51</v>
      </c>
      <c r="Y64" s="125">
        <f t="shared" si="28"/>
        <v>18000</v>
      </c>
      <c r="Z64" s="126">
        <f t="shared" si="29"/>
        <v>18000</v>
      </c>
      <c r="AA64" s="127"/>
      <c r="AB64" s="126">
        <f t="shared" si="30"/>
        <v>18000</v>
      </c>
      <c r="AC64" s="306"/>
      <c r="AD64" s="307"/>
      <c r="AE64" s="307"/>
      <c r="AF64" s="129"/>
      <c r="AG64" s="112"/>
      <c r="AH64" s="112">
        <f t="shared" si="32"/>
        <v>1800</v>
      </c>
    </row>
    <row r="65" hidden="1" outlineLevel="1">
      <c r="A65" s="219"/>
      <c r="B65" s="291" t="s">
        <v>52</v>
      </c>
      <c r="C65" s="292" t="s">
        <v>173</v>
      </c>
      <c r="D65" s="293" t="s">
        <v>173</v>
      </c>
      <c r="E65" s="108" t="s">
        <v>174</v>
      </c>
      <c r="F65" s="294" t="s">
        <v>161</v>
      </c>
      <c r="G65" s="109" t="s">
        <v>161</v>
      </c>
      <c r="H65" s="295"/>
      <c r="I65" s="295"/>
      <c r="J65" s="295"/>
      <c r="K65" s="295" t="s">
        <v>81</v>
      </c>
      <c r="L65" s="297">
        <v>1.0</v>
      </c>
      <c r="M65" s="298"/>
      <c r="N65" s="299"/>
      <c r="O65" s="298"/>
      <c r="P65" s="300"/>
      <c r="Q65" s="301" t="s">
        <v>49</v>
      </c>
      <c r="R65" s="301"/>
      <c r="S65" s="302" t="s">
        <v>81</v>
      </c>
      <c r="T65" s="302">
        <v>1.0</v>
      </c>
      <c r="U65" s="303" t="s">
        <v>49</v>
      </c>
      <c r="V65" s="304"/>
      <c r="W65" s="305">
        <v>55000.0</v>
      </c>
      <c r="X65" s="296" t="s">
        <v>51</v>
      </c>
      <c r="Y65" s="125">
        <f t="shared" si="28"/>
        <v>55000</v>
      </c>
      <c r="Z65" s="126">
        <f t="shared" si="29"/>
        <v>55000</v>
      </c>
      <c r="AA65" s="127">
        <v>0.2</v>
      </c>
      <c r="AB65" s="126">
        <f t="shared" si="30"/>
        <v>44000</v>
      </c>
      <c r="AC65" s="306"/>
      <c r="AD65" s="307"/>
      <c r="AE65" s="307"/>
      <c r="AF65" s="129"/>
      <c r="AG65" s="112"/>
      <c r="AH65" s="112">
        <f t="shared" si="32"/>
        <v>4400</v>
      </c>
    </row>
    <row r="66" hidden="1" outlineLevel="1">
      <c r="A66" s="219"/>
      <c r="B66" s="291" t="s">
        <v>52</v>
      </c>
      <c r="C66" s="310" t="s">
        <v>175</v>
      </c>
      <c r="D66" s="293" t="s">
        <v>175</v>
      </c>
      <c r="E66" s="108" t="s">
        <v>176</v>
      </c>
      <c r="F66" s="311" t="s">
        <v>177</v>
      </c>
      <c r="G66" s="108" t="s">
        <v>178</v>
      </c>
      <c r="H66" s="295"/>
      <c r="I66" s="295"/>
      <c r="J66" s="295"/>
      <c r="K66" s="295" t="s">
        <v>81</v>
      </c>
      <c r="L66" s="297">
        <v>1.0</v>
      </c>
      <c r="M66" s="298"/>
      <c r="N66" s="299"/>
      <c r="O66" s="298"/>
      <c r="P66" s="300"/>
      <c r="Q66" s="301" t="s">
        <v>49</v>
      </c>
      <c r="R66" s="301"/>
      <c r="S66" s="302" t="s">
        <v>81</v>
      </c>
      <c r="T66" s="302">
        <v>1.0</v>
      </c>
      <c r="U66" s="303" t="s">
        <v>49</v>
      </c>
      <c r="V66" s="304"/>
      <c r="W66" s="305">
        <v>0.0</v>
      </c>
      <c r="X66" s="296" t="s">
        <v>51</v>
      </c>
      <c r="Y66" s="125">
        <f t="shared" si="28"/>
        <v>0</v>
      </c>
      <c r="Z66" s="126">
        <f t="shared" si="29"/>
        <v>0</v>
      </c>
      <c r="AA66" s="127">
        <v>0.15</v>
      </c>
      <c r="AB66" s="126">
        <f t="shared" si="30"/>
        <v>0</v>
      </c>
      <c r="AC66" s="306"/>
      <c r="AD66" s="307"/>
      <c r="AE66" s="307"/>
      <c r="AF66" s="129"/>
      <c r="AG66" s="112"/>
      <c r="AH66" s="112">
        <f t="shared" si="32"/>
        <v>0</v>
      </c>
    </row>
    <row r="67" hidden="1" outlineLevel="1">
      <c r="A67" s="219"/>
      <c r="B67" s="220" t="s">
        <v>89</v>
      </c>
      <c r="C67" s="284" t="s">
        <v>179</v>
      </c>
      <c r="D67" s="285" t="s">
        <v>179</v>
      </c>
      <c r="E67" s="272" t="s">
        <v>180</v>
      </c>
      <c r="F67" s="215" t="s">
        <v>161</v>
      </c>
      <c r="G67" s="75" t="s">
        <v>161</v>
      </c>
      <c r="H67" s="277"/>
      <c r="I67" s="277"/>
      <c r="J67" s="277"/>
      <c r="K67" s="277" t="s">
        <v>81</v>
      </c>
      <c r="L67" s="278">
        <v>1.0</v>
      </c>
      <c r="M67" s="279"/>
      <c r="N67" s="280"/>
      <c r="O67" s="281"/>
      <c r="P67" s="282"/>
      <c r="Q67" s="230" t="s">
        <v>133</v>
      </c>
      <c r="R67" s="230"/>
      <c r="S67" s="286" t="s">
        <v>81</v>
      </c>
      <c r="T67" s="286">
        <v>1.0</v>
      </c>
      <c r="U67" s="287" t="s">
        <v>133</v>
      </c>
      <c r="V67" s="288"/>
      <c r="W67" s="289">
        <v>480000.0</v>
      </c>
      <c r="X67" s="276" t="s">
        <v>51</v>
      </c>
      <c r="Y67" s="84">
        <f t="shared" si="28"/>
        <v>480000</v>
      </c>
      <c r="Z67" s="271">
        <f t="shared" si="29"/>
        <v>480000</v>
      </c>
      <c r="AA67" s="290">
        <v>0.15</v>
      </c>
      <c r="AB67" s="85">
        <f t="shared" si="30"/>
        <v>408000</v>
      </c>
      <c r="AC67" s="232"/>
      <c r="AD67" s="233"/>
      <c r="AE67" s="233"/>
      <c r="AF67" s="12"/>
      <c r="AG67" s="10"/>
      <c r="AH67" s="10">
        <f t="shared" si="32"/>
        <v>40800</v>
      </c>
    </row>
    <row r="68" hidden="1" outlineLevel="1">
      <c r="A68" s="219"/>
      <c r="B68" s="220" t="s">
        <v>89</v>
      </c>
      <c r="C68" s="284" t="s">
        <v>181</v>
      </c>
      <c r="D68" s="285" t="s">
        <v>181</v>
      </c>
      <c r="E68" s="272" t="s">
        <v>182</v>
      </c>
      <c r="F68" s="215" t="s">
        <v>161</v>
      </c>
      <c r="G68" s="75" t="s">
        <v>161</v>
      </c>
      <c r="H68" s="277"/>
      <c r="I68" s="277"/>
      <c r="J68" s="277"/>
      <c r="K68" s="277" t="s">
        <v>81</v>
      </c>
      <c r="L68" s="278">
        <v>1.0</v>
      </c>
      <c r="M68" s="279"/>
      <c r="N68" s="280"/>
      <c r="O68" s="281"/>
      <c r="P68" s="282"/>
      <c r="Q68" s="230" t="s">
        <v>133</v>
      </c>
      <c r="R68" s="230"/>
      <c r="S68" s="286" t="s">
        <v>81</v>
      </c>
      <c r="T68" s="286">
        <v>1.0</v>
      </c>
      <c r="U68" s="287" t="s">
        <v>133</v>
      </c>
      <c r="V68" s="288"/>
      <c r="W68" s="289">
        <v>480000.0</v>
      </c>
      <c r="X68" s="276" t="s">
        <v>51</v>
      </c>
      <c r="Y68" s="84">
        <f t="shared" si="28"/>
        <v>480000</v>
      </c>
      <c r="Z68" s="271">
        <f t="shared" si="29"/>
        <v>480000</v>
      </c>
      <c r="AA68" s="290">
        <v>0.15</v>
      </c>
      <c r="AB68" s="85">
        <f t="shared" si="30"/>
        <v>408000</v>
      </c>
      <c r="AC68" s="232"/>
      <c r="AD68" s="233"/>
      <c r="AE68" s="233"/>
      <c r="AF68" s="12"/>
      <c r="AG68" s="10"/>
      <c r="AH68" s="10">
        <f t="shared" si="32"/>
        <v>40800</v>
      </c>
    </row>
    <row r="69" hidden="1" outlineLevel="1">
      <c r="A69" s="219"/>
      <c r="B69" s="220" t="s">
        <v>89</v>
      </c>
      <c r="C69" s="284" t="s">
        <v>181</v>
      </c>
      <c r="D69" s="285" t="s">
        <v>181</v>
      </c>
      <c r="E69" s="272" t="s">
        <v>183</v>
      </c>
      <c r="F69" s="215" t="s">
        <v>161</v>
      </c>
      <c r="G69" s="75" t="s">
        <v>161</v>
      </c>
      <c r="H69" s="277"/>
      <c r="I69" s="277"/>
      <c r="J69" s="277"/>
      <c r="K69" s="277" t="s">
        <v>81</v>
      </c>
      <c r="L69" s="278">
        <v>1.0</v>
      </c>
      <c r="M69" s="279"/>
      <c r="N69" s="280"/>
      <c r="O69" s="281"/>
      <c r="P69" s="282"/>
      <c r="Q69" s="230" t="s">
        <v>133</v>
      </c>
      <c r="R69" s="230"/>
      <c r="S69" s="286" t="s">
        <v>81</v>
      </c>
      <c r="T69" s="286">
        <v>1.0</v>
      </c>
      <c r="U69" s="287" t="s">
        <v>133</v>
      </c>
      <c r="V69" s="288"/>
      <c r="W69" s="289">
        <v>120000.0</v>
      </c>
      <c r="X69" s="276" t="s">
        <v>51</v>
      </c>
      <c r="Y69" s="84">
        <f t="shared" si="28"/>
        <v>120000</v>
      </c>
      <c r="Z69" s="271">
        <f t="shared" si="29"/>
        <v>120000</v>
      </c>
      <c r="AA69" s="290">
        <v>0.15</v>
      </c>
      <c r="AB69" s="85">
        <f t="shared" si="30"/>
        <v>102000</v>
      </c>
      <c r="AC69" s="232"/>
      <c r="AD69" s="233"/>
      <c r="AE69" s="233"/>
      <c r="AF69" s="12"/>
      <c r="AG69" s="10"/>
      <c r="AH69" s="10">
        <f t="shared" si="32"/>
        <v>10200</v>
      </c>
    </row>
    <row r="70" hidden="1" outlineLevel="1">
      <c r="A70" s="219"/>
      <c r="B70" s="220" t="s">
        <v>89</v>
      </c>
      <c r="C70" s="312" t="s">
        <v>184</v>
      </c>
      <c r="D70" s="285" t="s">
        <v>184</v>
      </c>
      <c r="E70" s="259" t="s">
        <v>185</v>
      </c>
      <c r="F70" s="215" t="s">
        <v>161</v>
      </c>
      <c r="G70" s="75" t="s">
        <v>161</v>
      </c>
      <c r="H70" s="277"/>
      <c r="I70" s="277"/>
      <c r="J70" s="277"/>
      <c r="K70" s="276" t="s">
        <v>81</v>
      </c>
      <c r="L70" s="278">
        <v>1.0</v>
      </c>
      <c r="M70" s="279"/>
      <c r="N70" s="280"/>
      <c r="O70" s="281"/>
      <c r="P70" s="282"/>
      <c r="Q70" s="230" t="s">
        <v>133</v>
      </c>
      <c r="R70" s="230"/>
      <c r="S70" s="286" t="s">
        <v>81</v>
      </c>
      <c r="T70" s="286">
        <v>1.0</v>
      </c>
      <c r="U70" s="287" t="s">
        <v>133</v>
      </c>
      <c r="V70" s="288"/>
      <c r="W70" s="289">
        <v>40000.0</v>
      </c>
      <c r="X70" s="276" t="s">
        <v>51</v>
      </c>
      <c r="Y70" s="84">
        <f t="shared" si="28"/>
        <v>40000</v>
      </c>
      <c r="Z70" s="271">
        <f t="shared" si="29"/>
        <v>40000</v>
      </c>
      <c r="AA70" s="290">
        <v>0.15</v>
      </c>
      <c r="AB70" s="85">
        <f t="shared" si="30"/>
        <v>34000</v>
      </c>
      <c r="AC70" s="232"/>
      <c r="AD70" s="233"/>
      <c r="AE70" s="233"/>
      <c r="AF70" s="12"/>
      <c r="AG70" s="10"/>
      <c r="AH70" s="10">
        <f t="shared" si="32"/>
        <v>3400</v>
      </c>
    </row>
    <row r="71" hidden="1" outlineLevel="1">
      <c r="A71" s="219"/>
      <c r="B71" s="220" t="s">
        <v>89</v>
      </c>
      <c r="C71" s="312" t="s">
        <v>186</v>
      </c>
      <c r="D71" s="285" t="s">
        <v>186</v>
      </c>
      <c r="E71" s="259" t="s">
        <v>187</v>
      </c>
      <c r="F71" s="215" t="s">
        <v>161</v>
      </c>
      <c r="G71" s="75" t="s">
        <v>161</v>
      </c>
      <c r="H71" s="277"/>
      <c r="I71" s="277"/>
      <c r="J71" s="277"/>
      <c r="K71" s="276" t="s">
        <v>81</v>
      </c>
      <c r="L71" s="278">
        <v>1.0</v>
      </c>
      <c r="M71" s="279"/>
      <c r="N71" s="280"/>
      <c r="O71" s="281"/>
      <c r="P71" s="282"/>
      <c r="Q71" s="230" t="s">
        <v>133</v>
      </c>
      <c r="R71" s="230"/>
      <c r="S71" s="286" t="s">
        <v>81</v>
      </c>
      <c r="T71" s="286">
        <v>1.0</v>
      </c>
      <c r="U71" s="287" t="s">
        <v>133</v>
      </c>
      <c r="V71" s="288"/>
      <c r="W71" s="289">
        <v>10000.0</v>
      </c>
      <c r="X71" s="276" t="s">
        <v>51</v>
      </c>
      <c r="Y71" s="84">
        <f t="shared" si="28"/>
        <v>10000</v>
      </c>
      <c r="Z71" s="271">
        <f t="shared" si="29"/>
        <v>10000</v>
      </c>
      <c r="AA71" s="290">
        <v>0.15</v>
      </c>
      <c r="AB71" s="85">
        <f t="shared" si="30"/>
        <v>8500</v>
      </c>
      <c r="AC71" s="232"/>
      <c r="AD71" s="233"/>
      <c r="AE71" s="233"/>
      <c r="AF71" s="12"/>
      <c r="AG71" s="10"/>
      <c r="AH71" s="10">
        <f t="shared" si="32"/>
        <v>850</v>
      </c>
    </row>
    <row r="72" hidden="1" outlineLevel="1">
      <c r="A72" s="219"/>
      <c r="B72" s="220" t="s">
        <v>89</v>
      </c>
      <c r="C72" s="312" t="s">
        <v>188</v>
      </c>
      <c r="D72" s="285" t="s">
        <v>188</v>
      </c>
      <c r="E72" s="259" t="s">
        <v>189</v>
      </c>
      <c r="F72" s="215" t="s">
        <v>161</v>
      </c>
      <c r="G72" s="75" t="s">
        <v>161</v>
      </c>
      <c r="H72" s="277"/>
      <c r="I72" s="277"/>
      <c r="J72" s="277"/>
      <c r="K72" s="276" t="s">
        <v>81</v>
      </c>
      <c r="L72" s="278">
        <v>1.0</v>
      </c>
      <c r="M72" s="279"/>
      <c r="N72" s="280"/>
      <c r="O72" s="281"/>
      <c r="P72" s="282"/>
      <c r="Q72" s="230" t="s">
        <v>133</v>
      </c>
      <c r="R72" s="230"/>
      <c r="S72" s="286" t="s">
        <v>81</v>
      </c>
      <c r="T72" s="286">
        <v>1.0</v>
      </c>
      <c r="U72" s="287" t="s">
        <v>133</v>
      </c>
      <c r="V72" s="288"/>
      <c r="W72" s="289">
        <v>30000.0</v>
      </c>
      <c r="X72" s="276" t="s">
        <v>51</v>
      </c>
      <c r="Y72" s="84">
        <f t="shared" si="28"/>
        <v>30000</v>
      </c>
      <c r="Z72" s="271">
        <f t="shared" si="29"/>
        <v>30000</v>
      </c>
      <c r="AA72" s="290">
        <v>0.15</v>
      </c>
      <c r="AB72" s="85">
        <f t="shared" si="30"/>
        <v>25500</v>
      </c>
      <c r="AC72" s="232"/>
      <c r="AD72" s="233"/>
      <c r="AE72" s="233"/>
      <c r="AF72" s="12"/>
      <c r="AG72" s="10"/>
      <c r="AH72" s="10">
        <f t="shared" si="32"/>
        <v>2550</v>
      </c>
    </row>
    <row r="73" hidden="1" outlineLevel="1">
      <c r="A73" s="219"/>
      <c r="B73" s="291" t="s">
        <v>56</v>
      </c>
      <c r="C73" s="292" t="s">
        <v>190</v>
      </c>
      <c r="D73" s="293" t="s">
        <v>190</v>
      </c>
      <c r="E73" s="108" t="s">
        <v>191</v>
      </c>
      <c r="F73" s="294" t="s">
        <v>161</v>
      </c>
      <c r="G73" s="109" t="s">
        <v>161</v>
      </c>
      <c r="H73" s="295"/>
      <c r="I73" s="295"/>
      <c r="J73" s="295"/>
      <c r="K73" s="295" t="s">
        <v>81</v>
      </c>
      <c r="L73" s="297">
        <v>1.0</v>
      </c>
      <c r="M73" s="298"/>
      <c r="N73" s="299"/>
      <c r="O73" s="298"/>
      <c r="P73" s="300"/>
      <c r="Q73" s="301" t="s">
        <v>49</v>
      </c>
      <c r="R73" s="301"/>
      <c r="S73" s="302" t="s">
        <v>81</v>
      </c>
      <c r="T73" s="302">
        <v>1.0</v>
      </c>
      <c r="U73" s="303" t="s">
        <v>49</v>
      </c>
      <c r="V73" s="304"/>
      <c r="W73" s="305">
        <v>105000.0</v>
      </c>
      <c r="X73" s="296" t="s">
        <v>51</v>
      </c>
      <c r="Y73" s="125">
        <f t="shared" si="28"/>
        <v>105000</v>
      </c>
      <c r="Z73" s="126">
        <f t="shared" si="29"/>
        <v>105000</v>
      </c>
      <c r="AA73" s="127">
        <v>0.15</v>
      </c>
      <c r="AB73" s="126">
        <f t="shared" si="30"/>
        <v>89250</v>
      </c>
      <c r="AC73" s="306"/>
      <c r="AD73" s="307"/>
      <c r="AE73" s="307"/>
      <c r="AF73" s="129"/>
      <c r="AG73" s="112"/>
      <c r="AH73" s="112">
        <f t="shared" si="32"/>
        <v>8925</v>
      </c>
    </row>
    <row r="74" hidden="1" outlineLevel="1">
      <c r="A74" s="219"/>
      <c r="B74" s="291" t="s">
        <v>56</v>
      </c>
      <c r="C74" s="310" t="s">
        <v>192</v>
      </c>
      <c r="D74" s="293" t="s">
        <v>192</v>
      </c>
      <c r="E74" s="108" t="s">
        <v>174</v>
      </c>
      <c r="F74" s="294" t="s">
        <v>161</v>
      </c>
      <c r="G74" s="109" t="s">
        <v>161</v>
      </c>
      <c r="H74" s="295"/>
      <c r="I74" s="295"/>
      <c r="J74" s="295"/>
      <c r="K74" s="296" t="s">
        <v>81</v>
      </c>
      <c r="L74" s="297" t="s">
        <v>146</v>
      </c>
      <c r="M74" s="298"/>
      <c r="N74" s="299"/>
      <c r="O74" s="298"/>
      <c r="P74" s="300"/>
      <c r="Q74" s="301" t="s">
        <v>49</v>
      </c>
      <c r="R74" s="301"/>
      <c r="S74" s="302" t="s">
        <v>81</v>
      </c>
      <c r="T74" s="302">
        <v>1.0</v>
      </c>
      <c r="U74" s="303" t="s">
        <v>49</v>
      </c>
      <c r="V74" s="304"/>
      <c r="W74" s="305">
        <v>130000.0</v>
      </c>
      <c r="X74" s="296" t="s">
        <v>51</v>
      </c>
      <c r="Y74" s="125">
        <f t="shared" si="28"/>
        <v>130000</v>
      </c>
      <c r="Z74" s="126">
        <f t="shared" si="29"/>
        <v>130000</v>
      </c>
      <c r="AA74" s="127">
        <v>0.2</v>
      </c>
      <c r="AB74" s="126">
        <f t="shared" si="30"/>
        <v>104000</v>
      </c>
      <c r="AC74" s="306"/>
      <c r="AD74" s="307"/>
      <c r="AE74" s="307"/>
      <c r="AF74" s="129"/>
      <c r="AG74" s="112"/>
      <c r="AH74" s="112">
        <f t="shared" si="32"/>
        <v>10400</v>
      </c>
    </row>
    <row r="75" hidden="1" outlineLevel="1">
      <c r="A75" s="219"/>
      <c r="B75" s="291" t="s">
        <v>56</v>
      </c>
      <c r="C75" s="292" t="s">
        <v>193</v>
      </c>
      <c r="D75" s="293" t="s">
        <v>193</v>
      </c>
      <c r="E75" s="108" t="s">
        <v>191</v>
      </c>
      <c r="F75" s="294" t="s">
        <v>161</v>
      </c>
      <c r="G75" s="109" t="s">
        <v>161</v>
      </c>
      <c r="H75" s="295"/>
      <c r="I75" s="295"/>
      <c r="J75" s="295"/>
      <c r="K75" s="295" t="s">
        <v>81</v>
      </c>
      <c r="L75" s="297" t="s">
        <v>146</v>
      </c>
      <c r="M75" s="298"/>
      <c r="N75" s="299"/>
      <c r="O75" s="298"/>
      <c r="P75" s="300"/>
      <c r="Q75" s="301" t="s">
        <v>49</v>
      </c>
      <c r="R75" s="301"/>
      <c r="S75" s="302" t="s">
        <v>81</v>
      </c>
      <c r="T75" s="302">
        <v>1.0</v>
      </c>
      <c r="U75" s="303" t="s">
        <v>49</v>
      </c>
      <c r="V75" s="304"/>
      <c r="W75" s="305">
        <v>80000.0</v>
      </c>
      <c r="X75" s="296" t="s">
        <v>51</v>
      </c>
      <c r="Y75" s="125">
        <f t="shared" si="28"/>
        <v>80000</v>
      </c>
      <c r="Z75" s="126">
        <f t="shared" si="29"/>
        <v>80000</v>
      </c>
      <c r="AA75" s="127">
        <v>0.15</v>
      </c>
      <c r="AB75" s="126">
        <f t="shared" si="30"/>
        <v>68000</v>
      </c>
      <c r="AC75" s="306"/>
      <c r="AD75" s="307"/>
      <c r="AE75" s="307"/>
      <c r="AF75" s="129"/>
      <c r="AG75" s="112"/>
      <c r="AH75" s="112">
        <f t="shared" si="32"/>
        <v>6800</v>
      </c>
    </row>
    <row r="76" hidden="1" outlineLevel="1">
      <c r="A76" s="219"/>
      <c r="B76" s="291" t="s">
        <v>56</v>
      </c>
      <c r="C76" s="292" t="s">
        <v>193</v>
      </c>
      <c r="D76" s="293" t="s">
        <v>193</v>
      </c>
      <c r="E76" s="108" t="s">
        <v>194</v>
      </c>
      <c r="F76" s="294" t="s">
        <v>161</v>
      </c>
      <c r="G76" s="109" t="s">
        <v>161</v>
      </c>
      <c r="H76" s="295"/>
      <c r="I76" s="295"/>
      <c r="J76" s="295"/>
      <c r="K76" s="295" t="s">
        <v>81</v>
      </c>
      <c r="L76" s="297" t="s">
        <v>146</v>
      </c>
      <c r="M76" s="298"/>
      <c r="N76" s="299"/>
      <c r="O76" s="298"/>
      <c r="P76" s="300"/>
      <c r="Q76" s="301" t="s">
        <v>49</v>
      </c>
      <c r="R76" s="301"/>
      <c r="S76" s="302" t="s">
        <v>81</v>
      </c>
      <c r="T76" s="302">
        <v>1.0</v>
      </c>
      <c r="U76" s="303" t="s">
        <v>49</v>
      </c>
      <c r="V76" s="304"/>
      <c r="W76" s="305">
        <v>40000.0</v>
      </c>
      <c r="X76" s="296" t="s">
        <v>51</v>
      </c>
      <c r="Y76" s="125">
        <f t="shared" si="28"/>
        <v>40000</v>
      </c>
      <c r="Z76" s="126">
        <f t="shared" si="29"/>
        <v>40000</v>
      </c>
      <c r="AA76" s="127">
        <v>0.15</v>
      </c>
      <c r="AB76" s="126">
        <f t="shared" si="30"/>
        <v>34000</v>
      </c>
      <c r="AC76" s="306"/>
      <c r="AD76" s="307"/>
      <c r="AE76" s="307"/>
      <c r="AF76" s="129"/>
      <c r="AG76" s="112"/>
      <c r="AH76" s="112">
        <f t="shared" si="32"/>
        <v>3400</v>
      </c>
    </row>
    <row r="77" hidden="1" outlineLevel="1">
      <c r="A77" s="219"/>
      <c r="B77" s="291" t="s">
        <v>56</v>
      </c>
      <c r="C77" s="292" t="s">
        <v>195</v>
      </c>
      <c r="D77" s="293" t="s">
        <v>195</v>
      </c>
      <c r="E77" s="108" t="s">
        <v>168</v>
      </c>
      <c r="F77" s="294" t="s">
        <v>166</v>
      </c>
      <c r="G77" s="109" t="s">
        <v>166</v>
      </c>
      <c r="H77" s="295"/>
      <c r="I77" s="295"/>
      <c r="J77" s="295"/>
      <c r="K77" s="295" t="s">
        <v>81</v>
      </c>
      <c r="L77" s="297" t="s">
        <v>146</v>
      </c>
      <c r="M77" s="298"/>
      <c r="N77" s="299"/>
      <c r="O77" s="298"/>
      <c r="P77" s="300"/>
      <c r="Q77" s="301" t="s">
        <v>49</v>
      </c>
      <c r="R77" s="301"/>
      <c r="S77" s="302" t="s">
        <v>81</v>
      </c>
      <c r="T77" s="302">
        <v>1.0</v>
      </c>
      <c r="U77" s="303" t="s">
        <v>49</v>
      </c>
      <c r="V77" s="304"/>
      <c r="W77" s="305">
        <v>45000.0</v>
      </c>
      <c r="X77" s="296" t="s">
        <v>51</v>
      </c>
      <c r="Y77" s="125">
        <f t="shared" si="28"/>
        <v>45000</v>
      </c>
      <c r="Z77" s="126">
        <f t="shared" si="29"/>
        <v>45000</v>
      </c>
      <c r="AA77" s="127">
        <v>0.15</v>
      </c>
      <c r="AB77" s="126">
        <f t="shared" si="30"/>
        <v>38250</v>
      </c>
      <c r="AC77" s="306"/>
      <c r="AD77" s="307"/>
      <c r="AE77" s="307"/>
      <c r="AF77" s="129"/>
      <c r="AG77" s="112"/>
      <c r="AH77" s="112">
        <f t="shared" si="32"/>
        <v>3825</v>
      </c>
    </row>
    <row r="78" hidden="1" outlineLevel="1">
      <c r="A78" s="219"/>
      <c r="B78" s="291" t="s">
        <v>56</v>
      </c>
      <c r="C78" s="292" t="s">
        <v>196</v>
      </c>
      <c r="D78" s="293" t="s">
        <v>196</v>
      </c>
      <c r="E78" s="108" t="s">
        <v>197</v>
      </c>
      <c r="F78" s="294" t="s">
        <v>166</v>
      </c>
      <c r="G78" s="109" t="s">
        <v>166</v>
      </c>
      <c r="H78" s="295"/>
      <c r="I78" s="295"/>
      <c r="J78" s="295"/>
      <c r="K78" s="295" t="s">
        <v>81</v>
      </c>
      <c r="L78" s="297" t="s">
        <v>146</v>
      </c>
      <c r="M78" s="298"/>
      <c r="N78" s="299"/>
      <c r="O78" s="298"/>
      <c r="P78" s="300"/>
      <c r="Q78" s="301" t="s">
        <v>49</v>
      </c>
      <c r="R78" s="301"/>
      <c r="S78" s="302" t="s">
        <v>81</v>
      </c>
      <c r="T78" s="302">
        <v>1.0</v>
      </c>
      <c r="U78" s="303" t="s">
        <v>49</v>
      </c>
      <c r="V78" s="304"/>
      <c r="W78" s="305">
        <v>85000.0</v>
      </c>
      <c r="X78" s="296" t="s">
        <v>51</v>
      </c>
      <c r="Y78" s="125">
        <f t="shared" si="28"/>
        <v>85000</v>
      </c>
      <c r="Z78" s="126">
        <f t="shared" si="29"/>
        <v>85000</v>
      </c>
      <c r="AA78" s="127">
        <v>0.15</v>
      </c>
      <c r="AB78" s="126">
        <f t="shared" si="30"/>
        <v>72250</v>
      </c>
      <c r="AC78" s="306"/>
      <c r="AD78" s="307"/>
      <c r="AE78" s="307"/>
      <c r="AF78" s="129"/>
      <c r="AG78" s="112"/>
      <c r="AH78" s="112">
        <f t="shared" si="32"/>
        <v>7225</v>
      </c>
    </row>
    <row r="79" hidden="1" outlineLevel="1">
      <c r="A79" s="219"/>
      <c r="B79" s="220" t="s">
        <v>74</v>
      </c>
      <c r="C79" s="284" t="s">
        <v>198</v>
      </c>
      <c r="D79" s="285" t="s">
        <v>198</v>
      </c>
      <c r="E79" s="272" t="s">
        <v>199</v>
      </c>
      <c r="F79" s="313" t="s">
        <v>177</v>
      </c>
      <c r="G79" s="259" t="s">
        <v>200</v>
      </c>
      <c r="H79" s="277"/>
      <c r="I79" s="277"/>
      <c r="J79" s="277"/>
      <c r="K79" s="277" t="s">
        <v>81</v>
      </c>
      <c r="L79" s="278" t="s">
        <v>146</v>
      </c>
      <c r="M79" s="279"/>
      <c r="N79" s="280"/>
      <c r="O79" s="281"/>
      <c r="P79" s="282"/>
      <c r="Q79" s="230" t="s">
        <v>133</v>
      </c>
      <c r="R79" s="230"/>
      <c r="S79" s="286" t="s">
        <v>81</v>
      </c>
      <c r="T79" s="286">
        <v>1.0</v>
      </c>
      <c r="U79" s="287" t="s">
        <v>133</v>
      </c>
      <c r="V79" s="288"/>
      <c r="W79" s="289">
        <v>0.0</v>
      </c>
      <c r="X79" s="276" t="s">
        <v>51</v>
      </c>
      <c r="Y79" s="84">
        <f t="shared" si="28"/>
        <v>0</v>
      </c>
      <c r="Z79" s="271">
        <f t="shared" si="29"/>
        <v>0</v>
      </c>
      <c r="AA79" s="290">
        <v>0.15</v>
      </c>
      <c r="AB79" s="85">
        <f t="shared" si="30"/>
        <v>0</v>
      </c>
      <c r="AC79" s="232"/>
      <c r="AD79" s="233"/>
      <c r="AE79" s="233"/>
      <c r="AF79" s="12"/>
      <c r="AG79" s="10"/>
      <c r="AH79" s="10">
        <f t="shared" si="32"/>
        <v>0</v>
      </c>
    </row>
    <row r="80" hidden="1" outlineLevel="1">
      <c r="A80" s="219"/>
      <c r="B80" s="220" t="s">
        <v>74</v>
      </c>
      <c r="C80" s="284" t="s">
        <v>201</v>
      </c>
      <c r="D80" s="285" t="s">
        <v>201</v>
      </c>
      <c r="E80" s="259" t="s">
        <v>160</v>
      </c>
      <c r="F80" s="215" t="s">
        <v>161</v>
      </c>
      <c r="G80" s="75" t="s">
        <v>161</v>
      </c>
      <c r="H80" s="277"/>
      <c r="I80" s="277"/>
      <c r="J80" s="277"/>
      <c r="K80" s="277" t="s">
        <v>81</v>
      </c>
      <c r="L80" s="278">
        <v>1.0</v>
      </c>
      <c r="M80" s="279"/>
      <c r="N80" s="280"/>
      <c r="O80" s="281"/>
      <c r="P80" s="282"/>
      <c r="Q80" s="230" t="s">
        <v>133</v>
      </c>
      <c r="R80" s="230"/>
      <c r="S80" s="286" t="s">
        <v>81</v>
      </c>
      <c r="T80" s="286">
        <v>1.0</v>
      </c>
      <c r="U80" s="287" t="s">
        <v>133</v>
      </c>
      <c r="V80" s="288"/>
      <c r="W80" s="289">
        <v>240000.0</v>
      </c>
      <c r="X80" s="276" t="s">
        <v>51</v>
      </c>
      <c r="Y80" s="84">
        <f t="shared" si="28"/>
        <v>240000</v>
      </c>
      <c r="Z80" s="271">
        <f t="shared" si="29"/>
        <v>240000</v>
      </c>
      <c r="AA80" s="290">
        <v>0.15</v>
      </c>
      <c r="AB80" s="85">
        <f t="shared" si="30"/>
        <v>204000</v>
      </c>
      <c r="AC80" s="232"/>
      <c r="AD80" s="233"/>
      <c r="AE80" s="233"/>
      <c r="AF80" s="12"/>
      <c r="AG80" s="10"/>
      <c r="AH80" s="10">
        <f>AB80*0</f>
        <v>0</v>
      </c>
    </row>
    <row r="81" ht="27.75" hidden="1" customHeight="1" outlineLevel="1">
      <c r="A81" s="314"/>
      <c r="B81" s="315" t="s">
        <v>74</v>
      </c>
      <c r="C81" s="316" t="s">
        <v>202</v>
      </c>
      <c r="D81" s="317" t="s">
        <v>202</v>
      </c>
      <c r="E81" s="318" t="s">
        <v>203</v>
      </c>
      <c r="F81" s="319" t="s">
        <v>204</v>
      </c>
      <c r="G81" s="320" t="s">
        <v>204</v>
      </c>
      <c r="H81" s="321"/>
      <c r="I81" s="321"/>
      <c r="J81" s="321"/>
      <c r="K81" s="321" t="s">
        <v>81</v>
      </c>
      <c r="L81" s="322" t="s">
        <v>146</v>
      </c>
      <c r="M81" s="323"/>
      <c r="N81" s="324"/>
      <c r="O81" s="323"/>
      <c r="P81" s="325"/>
      <c r="Q81" s="326" t="s">
        <v>49</v>
      </c>
      <c r="R81" s="326"/>
      <c r="S81" s="327" t="s">
        <v>81</v>
      </c>
      <c r="T81" s="327">
        <v>1.0</v>
      </c>
      <c r="U81" s="328" t="s">
        <v>49</v>
      </c>
      <c r="V81" s="329"/>
      <c r="W81" s="330">
        <v>210000.0</v>
      </c>
      <c r="X81" s="331" t="s">
        <v>51</v>
      </c>
      <c r="Y81" s="332">
        <f t="shared" si="28"/>
        <v>210000</v>
      </c>
      <c r="Z81" s="333">
        <f t="shared" si="29"/>
        <v>210000</v>
      </c>
      <c r="AA81" s="334">
        <v>0.15</v>
      </c>
      <c r="AB81" s="333">
        <f t="shared" si="30"/>
        <v>178500</v>
      </c>
      <c r="AC81" s="335"/>
      <c r="AD81" s="336"/>
      <c r="AE81" s="336"/>
      <c r="AF81" s="337"/>
      <c r="AG81" s="338"/>
      <c r="AH81" s="338">
        <f t="shared" ref="AH81:AH84" si="33">AB81*0.1</f>
        <v>17850</v>
      </c>
    </row>
    <row r="82" hidden="1" outlineLevel="1">
      <c r="A82" s="314"/>
      <c r="B82" s="315" t="s">
        <v>74</v>
      </c>
      <c r="C82" s="316" t="s">
        <v>205</v>
      </c>
      <c r="D82" s="317" t="s">
        <v>205</v>
      </c>
      <c r="E82" s="339" t="s">
        <v>206</v>
      </c>
      <c r="F82" s="340" t="s">
        <v>207</v>
      </c>
      <c r="G82" s="318" t="s">
        <v>207</v>
      </c>
      <c r="H82" s="321"/>
      <c r="I82" s="321"/>
      <c r="J82" s="321"/>
      <c r="K82" s="321" t="s">
        <v>81</v>
      </c>
      <c r="L82" s="322">
        <v>1.0</v>
      </c>
      <c r="M82" s="323"/>
      <c r="N82" s="324"/>
      <c r="O82" s="323"/>
      <c r="P82" s="325"/>
      <c r="Q82" s="326" t="s">
        <v>49</v>
      </c>
      <c r="R82" s="326"/>
      <c r="S82" s="327" t="s">
        <v>81</v>
      </c>
      <c r="T82" s="327">
        <v>1.0</v>
      </c>
      <c r="U82" s="328" t="s">
        <v>49</v>
      </c>
      <c r="V82" s="329"/>
      <c r="W82" s="330">
        <v>294000.0</v>
      </c>
      <c r="X82" s="331" t="s">
        <v>51</v>
      </c>
      <c r="Y82" s="332">
        <f t="shared" si="28"/>
        <v>294000</v>
      </c>
      <c r="Z82" s="333">
        <f t="shared" si="29"/>
        <v>294000</v>
      </c>
      <c r="AA82" s="334">
        <v>0.15</v>
      </c>
      <c r="AB82" s="333">
        <f t="shared" si="30"/>
        <v>249900</v>
      </c>
      <c r="AC82" s="335"/>
      <c r="AD82" s="336"/>
      <c r="AE82" s="336"/>
      <c r="AF82" s="337"/>
      <c r="AG82" s="338"/>
      <c r="AH82" s="338">
        <f t="shared" si="33"/>
        <v>24990</v>
      </c>
    </row>
    <row r="83" hidden="1" outlineLevel="1">
      <c r="A83" s="219"/>
      <c r="B83" s="291" t="s">
        <v>74</v>
      </c>
      <c r="C83" s="292" t="s">
        <v>208</v>
      </c>
      <c r="D83" s="293" t="s">
        <v>208</v>
      </c>
      <c r="E83" s="108" t="s">
        <v>209</v>
      </c>
      <c r="F83" s="294" t="s">
        <v>161</v>
      </c>
      <c r="G83" s="109" t="s">
        <v>161</v>
      </c>
      <c r="H83" s="295"/>
      <c r="I83" s="295"/>
      <c r="J83" s="295"/>
      <c r="K83" s="295" t="s">
        <v>81</v>
      </c>
      <c r="L83" s="297">
        <v>1.0</v>
      </c>
      <c r="M83" s="298"/>
      <c r="N83" s="299"/>
      <c r="O83" s="298"/>
      <c r="P83" s="300"/>
      <c r="Q83" s="301" t="s">
        <v>49</v>
      </c>
      <c r="R83" s="301"/>
      <c r="S83" s="302" t="s">
        <v>81</v>
      </c>
      <c r="T83" s="302">
        <v>1.0</v>
      </c>
      <c r="U83" s="303" t="s">
        <v>49</v>
      </c>
      <c r="V83" s="304"/>
      <c r="W83" s="305">
        <v>0.0</v>
      </c>
      <c r="X83" s="296" t="s">
        <v>51</v>
      </c>
      <c r="Y83" s="125">
        <f t="shared" si="28"/>
        <v>0</v>
      </c>
      <c r="Z83" s="126">
        <f t="shared" si="29"/>
        <v>0</v>
      </c>
      <c r="AA83" s="127">
        <v>0.15</v>
      </c>
      <c r="AB83" s="126">
        <f t="shared" si="30"/>
        <v>0</v>
      </c>
      <c r="AC83" s="306"/>
      <c r="AD83" s="307"/>
      <c r="AE83" s="307"/>
      <c r="AF83" s="129"/>
      <c r="AG83" s="112"/>
      <c r="AH83" s="112">
        <f t="shared" si="33"/>
        <v>0</v>
      </c>
    </row>
    <row r="84" hidden="1" outlineLevel="1">
      <c r="A84" s="219"/>
      <c r="B84" s="291" t="s">
        <v>74</v>
      </c>
      <c r="C84" s="310" t="s">
        <v>210</v>
      </c>
      <c r="D84" s="293" t="s">
        <v>210</v>
      </c>
      <c r="E84" s="108" t="s">
        <v>189</v>
      </c>
      <c r="F84" s="294" t="s">
        <v>161</v>
      </c>
      <c r="G84" s="109" t="s">
        <v>161</v>
      </c>
      <c r="H84" s="295"/>
      <c r="I84" s="295"/>
      <c r="J84" s="295"/>
      <c r="K84" s="296" t="s">
        <v>81</v>
      </c>
      <c r="L84" s="297">
        <v>1.0</v>
      </c>
      <c r="M84" s="298"/>
      <c r="N84" s="299"/>
      <c r="O84" s="298"/>
      <c r="P84" s="300"/>
      <c r="Q84" s="301" t="s">
        <v>49</v>
      </c>
      <c r="R84" s="301"/>
      <c r="S84" s="302" t="s">
        <v>81</v>
      </c>
      <c r="T84" s="302">
        <v>1.0</v>
      </c>
      <c r="U84" s="303" t="s">
        <v>49</v>
      </c>
      <c r="V84" s="304"/>
      <c r="W84" s="305">
        <v>0.0</v>
      </c>
      <c r="X84" s="296" t="s">
        <v>51</v>
      </c>
      <c r="Y84" s="125">
        <f t="shared" si="28"/>
        <v>0</v>
      </c>
      <c r="Z84" s="126">
        <f t="shared" si="29"/>
        <v>0</v>
      </c>
      <c r="AA84" s="127">
        <v>0.15</v>
      </c>
      <c r="AB84" s="126">
        <f t="shared" si="30"/>
        <v>0</v>
      </c>
      <c r="AC84" s="306"/>
      <c r="AD84" s="307"/>
      <c r="AE84" s="307"/>
      <c r="AF84" s="129"/>
      <c r="AG84" s="112"/>
      <c r="AH84" s="112">
        <f t="shared" si="33"/>
        <v>0</v>
      </c>
    </row>
    <row r="85" hidden="1" outlineLevel="1">
      <c r="A85" s="219"/>
      <c r="B85" s="220" t="s">
        <v>82</v>
      </c>
      <c r="C85" s="284" t="s">
        <v>211</v>
      </c>
      <c r="D85" s="285" t="s">
        <v>211</v>
      </c>
      <c r="E85" s="2" t="s">
        <v>212</v>
      </c>
      <c r="F85" s="341"/>
      <c r="G85" s="75"/>
      <c r="H85" s="277"/>
      <c r="I85" s="277"/>
      <c r="J85" s="277"/>
      <c r="K85" s="277" t="s">
        <v>81</v>
      </c>
      <c r="L85" s="278" t="s">
        <v>146</v>
      </c>
      <c r="M85" s="279"/>
      <c r="N85" s="280"/>
      <c r="O85" s="281"/>
      <c r="P85" s="282"/>
      <c r="Q85" s="82" t="s">
        <v>133</v>
      </c>
      <c r="R85" s="82"/>
      <c r="S85" s="286" t="s">
        <v>81</v>
      </c>
      <c r="T85" s="286">
        <v>1.0</v>
      </c>
      <c r="U85" s="287" t="s">
        <v>133</v>
      </c>
      <c r="V85" s="288"/>
      <c r="W85" s="289">
        <v>80000.0</v>
      </c>
      <c r="X85" s="276" t="s">
        <v>51</v>
      </c>
      <c r="Y85" s="100">
        <f t="shared" si="28"/>
        <v>80000</v>
      </c>
      <c r="Z85" s="85">
        <f t="shared" si="29"/>
        <v>80000</v>
      </c>
      <c r="AA85" s="86">
        <v>0.15</v>
      </c>
      <c r="AB85" s="85">
        <f t="shared" si="30"/>
        <v>68000</v>
      </c>
      <c r="AC85" s="232"/>
      <c r="AD85" s="233"/>
      <c r="AE85" s="233"/>
      <c r="AF85" s="12"/>
      <c r="AG85" s="10"/>
      <c r="AH85" s="10">
        <f t="shared" ref="AH85:AH95" si="34">AB85*0</f>
        <v>0</v>
      </c>
    </row>
    <row r="86" ht="29.25" hidden="1" customHeight="1" outlineLevel="1">
      <c r="A86" s="219"/>
      <c r="B86" s="220" t="s">
        <v>82</v>
      </c>
      <c r="C86" s="284" t="s">
        <v>213</v>
      </c>
      <c r="D86" s="285" t="s">
        <v>213</v>
      </c>
      <c r="E86" s="259" t="s">
        <v>160</v>
      </c>
      <c r="F86" s="215" t="s">
        <v>161</v>
      </c>
      <c r="G86" s="75" t="s">
        <v>161</v>
      </c>
      <c r="H86" s="277"/>
      <c r="I86" s="277"/>
      <c r="J86" s="277"/>
      <c r="K86" s="277" t="s">
        <v>81</v>
      </c>
      <c r="L86" s="278">
        <v>1.0</v>
      </c>
      <c r="M86" s="279"/>
      <c r="N86" s="280"/>
      <c r="O86" s="281"/>
      <c r="P86" s="282"/>
      <c r="Q86" s="230" t="s">
        <v>133</v>
      </c>
      <c r="R86" s="230"/>
      <c r="S86" s="286" t="s">
        <v>81</v>
      </c>
      <c r="T86" s="286">
        <v>1.0</v>
      </c>
      <c r="U86" s="287" t="s">
        <v>133</v>
      </c>
      <c r="V86" s="288"/>
      <c r="W86" s="289">
        <v>102000.0</v>
      </c>
      <c r="X86" s="276" t="s">
        <v>51</v>
      </c>
      <c r="Y86" s="84">
        <f t="shared" si="28"/>
        <v>102000</v>
      </c>
      <c r="Z86" s="271">
        <f t="shared" si="29"/>
        <v>102000</v>
      </c>
      <c r="AA86" s="290">
        <v>0.15</v>
      </c>
      <c r="AB86" s="85">
        <f t="shared" si="30"/>
        <v>86700</v>
      </c>
      <c r="AC86" s="232"/>
      <c r="AD86" s="233"/>
      <c r="AE86" s="233"/>
      <c r="AF86" s="12"/>
      <c r="AG86" s="10"/>
      <c r="AH86" s="10">
        <f t="shared" si="34"/>
        <v>0</v>
      </c>
    </row>
    <row r="87" ht="29.25" hidden="1" customHeight="1" outlineLevel="1">
      <c r="A87" s="219"/>
      <c r="B87" s="220" t="s">
        <v>82</v>
      </c>
      <c r="C87" s="284" t="s">
        <v>214</v>
      </c>
      <c r="D87" s="285" t="s">
        <v>214</v>
      </c>
      <c r="E87" s="259" t="s">
        <v>215</v>
      </c>
      <c r="F87" s="215" t="s">
        <v>161</v>
      </c>
      <c r="G87" s="75" t="s">
        <v>161</v>
      </c>
      <c r="H87" s="277"/>
      <c r="I87" s="277"/>
      <c r="J87" s="277"/>
      <c r="K87" s="277" t="s">
        <v>81</v>
      </c>
      <c r="L87" s="278">
        <v>1.0</v>
      </c>
      <c r="M87" s="279"/>
      <c r="N87" s="280"/>
      <c r="O87" s="281"/>
      <c r="P87" s="282"/>
      <c r="Q87" s="230" t="s">
        <v>133</v>
      </c>
      <c r="R87" s="230"/>
      <c r="S87" s="286" t="s">
        <v>81</v>
      </c>
      <c r="T87" s="286">
        <v>1.0</v>
      </c>
      <c r="U87" s="287" t="s">
        <v>133</v>
      </c>
      <c r="V87" s="288"/>
      <c r="W87" s="289">
        <v>102000.0</v>
      </c>
      <c r="X87" s="276" t="s">
        <v>51</v>
      </c>
      <c r="Y87" s="84">
        <f t="shared" si="28"/>
        <v>102000</v>
      </c>
      <c r="Z87" s="271">
        <f t="shared" si="29"/>
        <v>102000</v>
      </c>
      <c r="AA87" s="290">
        <v>0.15</v>
      </c>
      <c r="AB87" s="85">
        <f t="shared" si="30"/>
        <v>86700</v>
      </c>
      <c r="AC87" s="232"/>
      <c r="AD87" s="233"/>
      <c r="AE87" s="233"/>
      <c r="AF87" s="12"/>
      <c r="AG87" s="10"/>
      <c r="AH87" s="10">
        <f t="shared" si="34"/>
        <v>0</v>
      </c>
    </row>
    <row r="88" ht="29.25" hidden="1" customHeight="1" outlineLevel="1">
      <c r="A88" s="219"/>
      <c r="B88" s="220" t="s">
        <v>82</v>
      </c>
      <c r="C88" s="284" t="s">
        <v>214</v>
      </c>
      <c r="D88" s="285" t="s">
        <v>214</v>
      </c>
      <c r="E88" s="259" t="s">
        <v>216</v>
      </c>
      <c r="F88" s="215" t="s">
        <v>161</v>
      </c>
      <c r="G88" s="75" t="s">
        <v>161</v>
      </c>
      <c r="H88" s="277"/>
      <c r="I88" s="277"/>
      <c r="J88" s="277"/>
      <c r="K88" s="277" t="s">
        <v>81</v>
      </c>
      <c r="L88" s="278">
        <v>1.0</v>
      </c>
      <c r="M88" s="279"/>
      <c r="N88" s="280"/>
      <c r="O88" s="281"/>
      <c r="P88" s="282"/>
      <c r="Q88" s="230" t="s">
        <v>133</v>
      </c>
      <c r="R88" s="230"/>
      <c r="S88" s="286" t="s">
        <v>81</v>
      </c>
      <c r="T88" s="286">
        <v>1.0</v>
      </c>
      <c r="U88" s="287" t="s">
        <v>133</v>
      </c>
      <c r="V88" s="288"/>
      <c r="W88" s="289">
        <v>80400.0</v>
      </c>
      <c r="X88" s="276" t="s">
        <v>51</v>
      </c>
      <c r="Y88" s="84">
        <f t="shared" si="28"/>
        <v>80400</v>
      </c>
      <c r="Z88" s="271">
        <f t="shared" si="29"/>
        <v>80400</v>
      </c>
      <c r="AA88" s="290">
        <v>0.15</v>
      </c>
      <c r="AB88" s="85">
        <f t="shared" si="30"/>
        <v>68340</v>
      </c>
      <c r="AC88" s="232"/>
      <c r="AD88" s="233"/>
      <c r="AE88" s="233"/>
      <c r="AF88" s="12"/>
      <c r="AG88" s="10"/>
      <c r="AH88" s="10">
        <f t="shared" si="34"/>
        <v>0</v>
      </c>
    </row>
    <row r="89" hidden="1" outlineLevel="1">
      <c r="A89" s="219"/>
      <c r="B89" s="220" t="s">
        <v>82</v>
      </c>
      <c r="C89" s="312" t="s">
        <v>217</v>
      </c>
      <c r="D89" s="285" t="s">
        <v>217</v>
      </c>
      <c r="E89" s="259" t="s">
        <v>189</v>
      </c>
      <c r="F89" s="215" t="s">
        <v>161</v>
      </c>
      <c r="G89" s="75" t="s">
        <v>161</v>
      </c>
      <c r="H89" s="277"/>
      <c r="I89" s="277"/>
      <c r="J89" s="277"/>
      <c r="K89" s="276" t="s">
        <v>81</v>
      </c>
      <c r="L89" s="278" t="s">
        <v>218</v>
      </c>
      <c r="M89" s="279"/>
      <c r="N89" s="280"/>
      <c r="O89" s="281"/>
      <c r="P89" s="282"/>
      <c r="Q89" s="230" t="s">
        <v>133</v>
      </c>
      <c r="R89" s="230"/>
      <c r="S89" s="286" t="s">
        <v>81</v>
      </c>
      <c r="T89" s="286">
        <v>2.0</v>
      </c>
      <c r="U89" s="287" t="s">
        <v>133</v>
      </c>
      <c r="V89" s="288"/>
      <c r="W89" s="289">
        <v>30000.0</v>
      </c>
      <c r="X89" s="276" t="s">
        <v>51</v>
      </c>
      <c r="Y89" s="84">
        <f t="shared" si="28"/>
        <v>30000</v>
      </c>
      <c r="Z89" s="271">
        <f t="shared" si="29"/>
        <v>60000</v>
      </c>
      <c r="AA89" s="290">
        <v>0.15</v>
      </c>
      <c r="AB89" s="85">
        <f t="shared" si="30"/>
        <v>51000</v>
      </c>
      <c r="AC89" s="232"/>
      <c r="AD89" s="233"/>
      <c r="AE89" s="233"/>
      <c r="AF89" s="12"/>
      <c r="AG89" s="10"/>
      <c r="AH89" s="10">
        <f t="shared" si="34"/>
        <v>0</v>
      </c>
    </row>
    <row r="90" hidden="1" outlineLevel="1">
      <c r="A90" s="219"/>
      <c r="B90" s="220" t="s">
        <v>96</v>
      </c>
      <c r="C90" s="284" t="s">
        <v>219</v>
      </c>
      <c r="D90" s="285" t="s">
        <v>219</v>
      </c>
      <c r="E90" s="2" t="s">
        <v>212</v>
      </c>
      <c r="F90" s="341"/>
      <c r="G90" s="75"/>
      <c r="H90" s="277"/>
      <c r="I90" s="277"/>
      <c r="J90" s="277"/>
      <c r="K90" s="277" t="s">
        <v>81</v>
      </c>
      <c r="L90" s="278" t="s">
        <v>146</v>
      </c>
      <c r="M90" s="279"/>
      <c r="N90" s="280"/>
      <c r="O90" s="281"/>
      <c r="P90" s="282"/>
      <c r="Q90" s="82" t="s">
        <v>133</v>
      </c>
      <c r="R90" s="82"/>
      <c r="S90" s="286" t="s">
        <v>81</v>
      </c>
      <c r="T90" s="286">
        <v>1.0</v>
      </c>
      <c r="U90" s="287" t="s">
        <v>133</v>
      </c>
      <c r="V90" s="288"/>
      <c r="W90" s="289">
        <v>45000.0</v>
      </c>
      <c r="X90" s="276" t="s">
        <v>51</v>
      </c>
      <c r="Y90" s="100">
        <f t="shared" si="28"/>
        <v>45000</v>
      </c>
      <c r="Z90" s="85">
        <f t="shared" si="29"/>
        <v>45000</v>
      </c>
      <c r="AA90" s="86">
        <v>0.15</v>
      </c>
      <c r="AB90" s="85">
        <f t="shared" si="30"/>
        <v>38250</v>
      </c>
      <c r="AC90" s="232"/>
      <c r="AD90" s="233"/>
      <c r="AE90" s="233"/>
      <c r="AF90" s="12"/>
      <c r="AG90" s="10"/>
      <c r="AH90" s="10">
        <f t="shared" si="34"/>
        <v>0</v>
      </c>
    </row>
    <row r="91" hidden="1" outlineLevel="1">
      <c r="A91" s="219"/>
      <c r="B91" s="220" t="s">
        <v>96</v>
      </c>
      <c r="C91" s="284" t="s">
        <v>220</v>
      </c>
      <c r="D91" s="285" t="s">
        <v>220</v>
      </c>
      <c r="E91" s="259" t="s">
        <v>160</v>
      </c>
      <c r="F91" s="215" t="s">
        <v>161</v>
      </c>
      <c r="G91" s="75" t="s">
        <v>161</v>
      </c>
      <c r="H91" s="277"/>
      <c r="I91" s="277"/>
      <c r="J91" s="277"/>
      <c r="K91" s="277" t="s">
        <v>81</v>
      </c>
      <c r="L91" s="278">
        <v>1.0</v>
      </c>
      <c r="M91" s="279"/>
      <c r="N91" s="280"/>
      <c r="O91" s="281"/>
      <c r="P91" s="282"/>
      <c r="Q91" s="230" t="s">
        <v>133</v>
      </c>
      <c r="R91" s="230"/>
      <c r="S91" s="286" t="s">
        <v>81</v>
      </c>
      <c r="T91" s="286">
        <v>1.0</v>
      </c>
      <c r="U91" s="287" t="s">
        <v>133</v>
      </c>
      <c r="V91" s="288"/>
      <c r="W91" s="289">
        <v>102000.0</v>
      </c>
      <c r="X91" s="276" t="s">
        <v>51</v>
      </c>
      <c r="Y91" s="84">
        <f t="shared" si="28"/>
        <v>102000</v>
      </c>
      <c r="Z91" s="271">
        <f t="shared" si="29"/>
        <v>102000</v>
      </c>
      <c r="AA91" s="290">
        <v>0.15</v>
      </c>
      <c r="AB91" s="85">
        <f t="shared" si="30"/>
        <v>86700</v>
      </c>
      <c r="AC91" s="232"/>
      <c r="AD91" s="233"/>
      <c r="AE91" s="233"/>
      <c r="AF91" s="12"/>
      <c r="AG91" s="10"/>
      <c r="AH91" s="10">
        <f t="shared" si="34"/>
        <v>0</v>
      </c>
    </row>
    <row r="92" hidden="1" outlineLevel="1">
      <c r="A92" s="219"/>
      <c r="B92" s="220" t="s">
        <v>96</v>
      </c>
      <c r="C92" s="284" t="s">
        <v>221</v>
      </c>
      <c r="D92" s="285" t="s">
        <v>221</v>
      </c>
      <c r="E92" s="259" t="s">
        <v>222</v>
      </c>
      <c r="F92" s="215" t="s">
        <v>161</v>
      </c>
      <c r="G92" s="75" t="s">
        <v>161</v>
      </c>
      <c r="H92" s="277"/>
      <c r="I92" s="277"/>
      <c r="J92" s="277"/>
      <c r="K92" s="277" t="s">
        <v>81</v>
      </c>
      <c r="L92" s="278">
        <v>1.0</v>
      </c>
      <c r="M92" s="279"/>
      <c r="N92" s="280"/>
      <c r="O92" s="281"/>
      <c r="P92" s="282"/>
      <c r="Q92" s="230" t="s">
        <v>133</v>
      </c>
      <c r="R92" s="230"/>
      <c r="S92" s="286" t="s">
        <v>81</v>
      </c>
      <c r="T92" s="286">
        <v>1.0</v>
      </c>
      <c r="U92" s="287" t="s">
        <v>133</v>
      </c>
      <c r="V92" s="288"/>
      <c r="W92" s="289">
        <v>180000.0</v>
      </c>
      <c r="X92" s="276" t="s">
        <v>51</v>
      </c>
      <c r="Y92" s="84">
        <f t="shared" si="28"/>
        <v>180000</v>
      </c>
      <c r="Z92" s="271">
        <f t="shared" si="29"/>
        <v>180000</v>
      </c>
      <c r="AA92" s="290">
        <v>0.15</v>
      </c>
      <c r="AB92" s="85">
        <f t="shared" si="30"/>
        <v>153000</v>
      </c>
      <c r="AC92" s="232"/>
      <c r="AD92" s="233"/>
      <c r="AE92" s="233"/>
      <c r="AF92" s="12"/>
      <c r="AG92" s="10"/>
      <c r="AH92" s="10">
        <f t="shared" si="34"/>
        <v>0</v>
      </c>
    </row>
    <row r="93" hidden="1" outlineLevel="1">
      <c r="A93" s="219"/>
      <c r="B93" s="220" t="s">
        <v>96</v>
      </c>
      <c r="C93" s="284" t="s">
        <v>223</v>
      </c>
      <c r="D93" s="285" t="s">
        <v>223</v>
      </c>
      <c r="E93" s="272" t="s">
        <v>224</v>
      </c>
      <c r="F93" s="215" t="s">
        <v>161</v>
      </c>
      <c r="G93" s="75" t="s">
        <v>161</v>
      </c>
      <c r="H93" s="277"/>
      <c r="I93" s="277"/>
      <c r="J93" s="277"/>
      <c r="K93" s="277" t="s">
        <v>81</v>
      </c>
      <c r="L93" s="278">
        <v>1.0</v>
      </c>
      <c r="M93" s="279"/>
      <c r="N93" s="280"/>
      <c r="O93" s="281"/>
      <c r="P93" s="282"/>
      <c r="Q93" s="230" t="s">
        <v>133</v>
      </c>
      <c r="R93" s="230"/>
      <c r="S93" s="286" t="s">
        <v>81</v>
      </c>
      <c r="T93" s="286">
        <v>1.0</v>
      </c>
      <c r="U93" s="287" t="s">
        <v>133</v>
      </c>
      <c r="V93" s="288"/>
      <c r="W93" s="289">
        <v>156000.0</v>
      </c>
      <c r="X93" s="276" t="s">
        <v>51</v>
      </c>
      <c r="Y93" s="84">
        <f t="shared" si="28"/>
        <v>156000</v>
      </c>
      <c r="Z93" s="271">
        <f t="shared" si="29"/>
        <v>156000</v>
      </c>
      <c r="AA93" s="290">
        <v>0.15</v>
      </c>
      <c r="AB93" s="85">
        <f t="shared" si="30"/>
        <v>132600</v>
      </c>
      <c r="AC93" s="232"/>
      <c r="AD93" s="233"/>
      <c r="AE93" s="233"/>
      <c r="AF93" s="12"/>
      <c r="AG93" s="10"/>
      <c r="AH93" s="10">
        <f t="shared" si="34"/>
        <v>0</v>
      </c>
    </row>
    <row r="94" hidden="1" outlineLevel="1">
      <c r="A94" s="314"/>
      <c r="B94" s="315" t="s">
        <v>96</v>
      </c>
      <c r="C94" s="316" t="s">
        <v>225</v>
      </c>
      <c r="D94" s="317" t="s">
        <v>225</v>
      </c>
      <c r="E94" s="318" t="s">
        <v>226</v>
      </c>
      <c r="F94" s="319" t="s">
        <v>227</v>
      </c>
      <c r="G94" s="320" t="s">
        <v>227</v>
      </c>
      <c r="H94" s="321"/>
      <c r="I94" s="321"/>
      <c r="J94" s="321"/>
      <c r="K94" s="321" t="s">
        <v>81</v>
      </c>
      <c r="L94" s="322"/>
      <c r="M94" s="323"/>
      <c r="N94" s="324"/>
      <c r="O94" s="323"/>
      <c r="P94" s="325"/>
      <c r="Q94" s="326" t="s">
        <v>133</v>
      </c>
      <c r="R94" s="326"/>
      <c r="S94" s="327" t="s">
        <v>81</v>
      </c>
      <c r="T94" s="342"/>
      <c r="U94" s="328" t="s">
        <v>133</v>
      </c>
      <c r="V94" s="329"/>
      <c r="W94" s="330"/>
      <c r="X94" s="331" t="s">
        <v>51</v>
      </c>
      <c r="Y94" s="332"/>
      <c r="Z94" s="333"/>
      <c r="AA94" s="334"/>
      <c r="AB94" s="333"/>
      <c r="AC94" s="335"/>
      <c r="AD94" s="336"/>
      <c r="AE94" s="336"/>
      <c r="AF94" s="337"/>
      <c r="AG94" s="10"/>
      <c r="AH94" s="10">
        <f t="shared" si="34"/>
        <v>0</v>
      </c>
    </row>
    <row r="95" hidden="1" outlineLevel="1">
      <c r="A95" s="219"/>
      <c r="B95" s="220" t="s">
        <v>96</v>
      </c>
      <c r="C95" s="312" t="s">
        <v>228</v>
      </c>
      <c r="D95" s="285" t="s">
        <v>228</v>
      </c>
      <c r="E95" s="259" t="s">
        <v>189</v>
      </c>
      <c r="F95" s="215" t="s">
        <v>161</v>
      </c>
      <c r="G95" s="75" t="s">
        <v>161</v>
      </c>
      <c r="H95" s="277"/>
      <c r="I95" s="277"/>
      <c r="J95" s="277"/>
      <c r="K95" s="276" t="s">
        <v>81</v>
      </c>
      <c r="L95" s="278" t="s">
        <v>146</v>
      </c>
      <c r="M95" s="279"/>
      <c r="N95" s="280"/>
      <c r="O95" s="281"/>
      <c r="P95" s="282"/>
      <c r="Q95" s="230" t="s">
        <v>133</v>
      </c>
      <c r="R95" s="230"/>
      <c r="S95" s="286" t="s">
        <v>81</v>
      </c>
      <c r="T95" s="286">
        <v>1.0</v>
      </c>
      <c r="U95" s="287" t="s">
        <v>133</v>
      </c>
      <c r="V95" s="288"/>
      <c r="W95" s="289">
        <v>30000.0</v>
      </c>
      <c r="X95" s="276" t="s">
        <v>51</v>
      </c>
      <c r="Y95" s="84">
        <f>IFERROR(IF(X95="RUB",W95, IF(AND(W95="",X95=""),0,W95*INDIRECT(X95))),"Выберите валюту")</f>
        <v>30000</v>
      </c>
      <c r="Z95" s="271">
        <f>if(and($B95="",$E95&lt;&gt;"",$G95="",$L95="",$W95=""),sumifs(Z:Z,$Q:$Q,"Основа",#REF!,#REF!),if(and($B95&lt;&gt;"",$E95="",$G95="",$L95="",$W95=""),sumifs(Z:Z,$Q:$Q,"Основа",#REF!,#REF!,#REF!,#REF!),$L95*$Y95))</f>
        <v>30000</v>
      </c>
      <c r="AA95" s="290">
        <v>0.15</v>
      </c>
      <c r="AB95" s="85">
        <f>Z95-Z95*AA95</f>
        <v>25500</v>
      </c>
      <c r="AC95" s="232"/>
      <c r="AD95" s="233"/>
      <c r="AE95" s="233"/>
      <c r="AF95" s="12"/>
      <c r="AG95" s="10"/>
      <c r="AH95" s="10">
        <f t="shared" si="34"/>
        <v>0</v>
      </c>
    </row>
    <row r="96" hidden="1" outlineLevel="1">
      <c r="A96" s="219"/>
      <c r="B96" s="220"/>
      <c r="C96" s="312"/>
      <c r="D96" s="343"/>
      <c r="E96" s="259" t="s">
        <v>229</v>
      </c>
      <c r="F96" s="341"/>
      <c r="G96" s="75"/>
      <c r="H96" s="277"/>
      <c r="I96" s="277"/>
      <c r="J96" s="277"/>
      <c r="K96" s="276"/>
      <c r="L96" s="278"/>
      <c r="M96" s="279"/>
      <c r="N96" s="280"/>
      <c r="O96" s="281"/>
      <c r="P96" s="282"/>
      <c r="Q96" s="230"/>
      <c r="R96" s="230"/>
      <c r="S96" s="344"/>
      <c r="T96" s="344"/>
      <c r="U96" s="288"/>
      <c r="V96" s="288"/>
      <c r="W96" s="289"/>
      <c r="X96" s="276"/>
      <c r="Y96" s="84"/>
      <c r="Z96" s="271"/>
      <c r="AA96" s="290"/>
      <c r="AB96" s="85"/>
      <c r="AC96" s="232"/>
      <c r="AD96" s="233"/>
      <c r="AE96" s="233"/>
      <c r="AF96" s="12"/>
      <c r="AG96" s="10"/>
      <c r="AH96" s="10"/>
    </row>
    <row r="97" ht="47.25" customHeight="1" collapsed="1">
      <c r="A97" s="56"/>
      <c r="B97" s="56"/>
      <c r="C97" s="57"/>
      <c r="D97" s="58"/>
      <c r="E97" s="58" t="s">
        <v>230</v>
      </c>
      <c r="F97" s="58"/>
      <c r="G97" s="59"/>
      <c r="H97" s="60"/>
      <c r="I97" s="60"/>
      <c r="J97" s="60"/>
      <c r="K97" s="61"/>
      <c r="L97" s="62"/>
      <c r="M97" s="63"/>
      <c r="N97" s="64"/>
      <c r="O97" s="65"/>
      <c r="P97" s="66"/>
      <c r="Q97" s="67"/>
      <c r="R97" s="67"/>
      <c r="S97" s="70"/>
      <c r="T97" s="70"/>
      <c r="U97" s="70"/>
      <c r="V97" s="70"/>
      <c r="W97" s="70"/>
      <c r="X97" s="61"/>
      <c r="Y97" s="70"/>
      <c r="Z97" s="62">
        <f>SUMIF(Q98:Q125,"Основа",Z98:Z125)</f>
        <v>619594</v>
      </c>
      <c r="AA97" s="71"/>
      <c r="AB97" s="62">
        <f>SUMIF(Q98:Q125,"Основа",AB98:AB125)</f>
        <v>559303.4</v>
      </c>
      <c r="AC97" s="72"/>
      <c r="AD97" s="73"/>
      <c r="AE97" s="73"/>
      <c r="AF97" s="73"/>
      <c r="AG97" s="62"/>
      <c r="AH97" s="62">
        <f>SUM(AH98:AH126)</f>
        <v>56727.98</v>
      </c>
    </row>
    <row r="98" hidden="1" outlineLevel="1">
      <c r="A98" s="345"/>
      <c r="B98" s="346" t="s">
        <v>44</v>
      </c>
      <c r="C98" s="347" t="s">
        <v>231</v>
      </c>
      <c r="D98" s="348" t="s">
        <v>231</v>
      </c>
      <c r="E98" s="134" t="s">
        <v>232</v>
      </c>
      <c r="F98" s="349" t="s">
        <v>233</v>
      </c>
      <c r="G98" s="350" t="s">
        <v>233</v>
      </c>
      <c r="H98" s="351"/>
      <c r="I98" s="351"/>
      <c r="J98" s="351"/>
      <c r="K98" s="352" t="s">
        <v>81</v>
      </c>
      <c r="L98" s="352">
        <v>5.0</v>
      </c>
      <c r="M98" s="353"/>
      <c r="N98" s="354"/>
      <c r="O98" s="353"/>
      <c r="P98" s="355"/>
      <c r="Q98" s="145" t="s">
        <v>49</v>
      </c>
      <c r="R98" s="145"/>
      <c r="S98" s="356" t="s">
        <v>81</v>
      </c>
      <c r="T98" s="357">
        <v>5.0</v>
      </c>
      <c r="U98" s="356" t="s">
        <v>49</v>
      </c>
      <c r="V98" s="358"/>
      <c r="W98" s="359">
        <v>4990.0</v>
      </c>
      <c r="X98" s="346" t="s">
        <v>51</v>
      </c>
      <c r="Y98" s="360">
        <v>4990.0</v>
      </c>
      <c r="Z98" s="361">
        <f t="shared" ref="Z98:Z126" si="35">Y98*T98</f>
        <v>24950</v>
      </c>
      <c r="AA98" s="362">
        <v>0.15</v>
      </c>
      <c r="AB98" s="361">
        <f t="shared" ref="AB98:AB126" si="36">Z98-Z98*AA98</f>
        <v>21207.5</v>
      </c>
      <c r="AC98" s="363"/>
      <c r="AD98" s="363"/>
      <c r="AE98" s="363"/>
      <c r="AF98" s="363"/>
      <c r="AG98" s="364">
        <v>0.1</v>
      </c>
      <c r="AH98" s="363">
        <f t="shared" ref="AH98:AH126" si="37">AB98*0.1</f>
        <v>2120.75</v>
      </c>
    </row>
    <row r="99" hidden="1" outlineLevel="1">
      <c r="A99" s="345"/>
      <c r="B99" s="346" t="s">
        <v>52</v>
      </c>
      <c r="C99" s="347" t="s">
        <v>234</v>
      </c>
      <c r="D99" s="348" t="s">
        <v>234</v>
      </c>
      <c r="E99" s="134" t="s">
        <v>232</v>
      </c>
      <c r="F99" s="349" t="s">
        <v>233</v>
      </c>
      <c r="G99" s="350" t="s">
        <v>233</v>
      </c>
      <c r="H99" s="351"/>
      <c r="I99" s="351"/>
      <c r="J99" s="365" t="s">
        <v>235</v>
      </c>
      <c r="K99" s="352" t="s">
        <v>81</v>
      </c>
      <c r="L99" s="352">
        <v>3.0</v>
      </c>
      <c r="M99" s="353"/>
      <c r="N99" s="354"/>
      <c r="O99" s="353"/>
      <c r="P99" s="355"/>
      <c r="Q99" s="145" t="s">
        <v>49</v>
      </c>
      <c r="R99" s="145"/>
      <c r="S99" s="356" t="s">
        <v>81</v>
      </c>
      <c r="T99" s="357">
        <v>3.0</v>
      </c>
      <c r="U99" s="356" t="s">
        <v>49</v>
      </c>
      <c r="V99" s="358"/>
      <c r="W99" s="359">
        <v>4990.0</v>
      </c>
      <c r="X99" s="346" t="s">
        <v>51</v>
      </c>
      <c r="Y99" s="360">
        <v>4990.0</v>
      </c>
      <c r="Z99" s="361">
        <f t="shared" si="35"/>
        <v>14970</v>
      </c>
      <c r="AA99" s="362">
        <v>0.15</v>
      </c>
      <c r="AB99" s="361">
        <f t="shared" si="36"/>
        <v>12724.5</v>
      </c>
      <c r="AC99" s="363"/>
      <c r="AD99" s="363"/>
      <c r="AE99" s="363"/>
      <c r="AF99" s="363"/>
      <c r="AG99" s="364">
        <v>0.1</v>
      </c>
      <c r="AH99" s="363">
        <f t="shared" si="37"/>
        <v>1272.45</v>
      </c>
    </row>
    <row r="100" hidden="1" outlineLevel="1">
      <c r="A100" s="366"/>
      <c r="B100" s="14" t="s">
        <v>52</v>
      </c>
      <c r="C100" s="367" t="s">
        <v>234</v>
      </c>
      <c r="D100" s="368" t="s">
        <v>234</v>
      </c>
      <c r="E100" s="259" t="s">
        <v>236</v>
      </c>
      <c r="F100" s="369" t="s">
        <v>237</v>
      </c>
      <c r="G100" s="259" t="s">
        <v>237</v>
      </c>
      <c r="H100" s="370"/>
      <c r="I100" s="370"/>
      <c r="J100" s="370"/>
      <c r="K100" s="371" t="s">
        <v>122</v>
      </c>
      <c r="L100" s="372">
        <f>1.84*2</f>
        <v>3.68</v>
      </c>
      <c r="M100" s="373"/>
      <c r="N100" s="374"/>
      <c r="O100" s="375"/>
      <c r="P100" s="376"/>
      <c r="Q100" s="377" t="s">
        <v>49</v>
      </c>
      <c r="R100" s="377"/>
      <c r="S100" s="378" t="s">
        <v>122</v>
      </c>
      <c r="T100" s="286">
        <v>3.68</v>
      </c>
      <c r="U100" s="378" t="s">
        <v>49</v>
      </c>
      <c r="V100" s="379"/>
      <c r="W100" s="380">
        <v>0.0</v>
      </c>
      <c r="X100" s="14" t="s">
        <v>51</v>
      </c>
      <c r="Y100" s="381">
        <f t="shared" ref="Y100:Y102" si="38">IFERROR(IF(X100="RUB",W100, IF(AND(W100="",X100=""),0,W100*INDIRECT(X100))),"Выберите валюту")</f>
        <v>0</v>
      </c>
      <c r="Z100" s="382">
        <f t="shared" si="35"/>
        <v>0</v>
      </c>
      <c r="AA100" s="383">
        <v>0.0</v>
      </c>
      <c r="AB100" s="382">
        <f t="shared" si="36"/>
        <v>0</v>
      </c>
      <c r="AC100" s="384"/>
      <c r="AD100" s="384"/>
      <c r="AE100" s="384"/>
      <c r="AF100" s="384"/>
      <c r="AG100" s="384"/>
      <c r="AH100" s="384">
        <f t="shared" si="37"/>
        <v>0</v>
      </c>
    </row>
    <row r="101" hidden="1" outlineLevel="1">
      <c r="A101" s="366"/>
      <c r="B101" s="14" t="s">
        <v>89</v>
      </c>
      <c r="C101" s="367" t="s">
        <v>238</v>
      </c>
      <c r="D101" s="368" t="s">
        <v>238</v>
      </c>
      <c r="E101" s="272" t="s">
        <v>239</v>
      </c>
      <c r="F101" s="260" t="s">
        <v>240</v>
      </c>
      <c r="G101" s="370" t="s">
        <v>240</v>
      </c>
      <c r="H101" s="370"/>
      <c r="I101" s="370"/>
      <c r="J101" s="370"/>
      <c r="K101" s="372" t="s">
        <v>81</v>
      </c>
      <c r="L101" s="372">
        <v>1.0</v>
      </c>
      <c r="M101" s="373"/>
      <c r="N101" s="374"/>
      <c r="O101" s="375"/>
      <c r="P101" s="376"/>
      <c r="Q101" s="377" t="s">
        <v>49</v>
      </c>
      <c r="R101" s="377"/>
      <c r="S101" s="378" t="s">
        <v>81</v>
      </c>
      <c r="T101" s="286">
        <v>1.0</v>
      </c>
      <c r="U101" s="378" t="s">
        <v>49</v>
      </c>
      <c r="V101" s="379"/>
      <c r="W101" s="380">
        <v>18570.0</v>
      </c>
      <c r="X101" s="14" t="s">
        <v>51</v>
      </c>
      <c r="Y101" s="381">
        <f t="shared" si="38"/>
        <v>18570</v>
      </c>
      <c r="Z101" s="382">
        <f t="shared" si="35"/>
        <v>18570</v>
      </c>
      <c r="AA101" s="383">
        <v>0.0</v>
      </c>
      <c r="AB101" s="382">
        <f t="shared" si="36"/>
        <v>18570</v>
      </c>
      <c r="AC101" s="384"/>
      <c r="AD101" s="384"/>
      <c r="AE101" s="384"/>
      <c r="AF101" s="384"/>
      <c r="AG101" s="384"/>
      <c r="AH101" s="384">
        <f t="shared" si="37"/>
        <v>1857</v>
      </c>
    </row>
    <row r="102" hidden="1" outlineLevel="1">
      <c r="A102" s="366"/>
      <c r="B102" s="14" t="s">
        <v>89</v>
      </c>
      <c r="C102" s="367" t="s">
        <v>241</v>
      </c>
      <c r="D102" s="368" t="s">
        <v>241</v>
      </c>
      <c r="E102" s="259" t="s">
        <v>242</v>
      </c>
      <c r="F102" s="260" t="s">
        <v>154</v>
      </c>
      <c r="G102" s="385" t="s">
        <v>154</v>
      </c>
      <c r="H102" s="370"/>
      <c r="I102" s="370"/>
      <c r="J102" s="370"/>
      <c r="K102" s="372" t="s">
        <v>81</v>
      </c>
      <c r="L102" s="372">
        <v>1.0</v>
      </c>
      <c r="M102" s="373"/>
      <c r="N102" s="374"/>
      <c r="O102" s="375"/>
      <c r="P102" s="376"/>
      <c r="Q102" s="377" t="s">
        <v>49</v>
      </c>
      <c r="R102" s="377"/>
      <c r="S102" s="378" t="s">
        <v>81</v>
      </c>
      <c r="T102" s="286">
        <v>1.0</v>
      </c>
      <c r="U102" s="378" t="s">
        <v>49</v>
      </c>
      <c r="V102" s="379"/>
      <c r="W102" s="386">
        <v>22600.0</v>
      </c>
      <c r="X102" s="14" t="s">
        <v>51</v>
      </c>
      <c r="Y102" s="381">
        <f t="shared" si="38"/>
        <v>22600</v>
      </c>
      <c r="Z102" s="382">
        <f t="shared" si="35"/>
        <v>22600</v>
      </c>
      <c r="AA102" s="383">
        <v>0.1</v>
      </c>
      <c r="AB102" s="382">
        <f t="shared" si="36"/>
        <v>20340</v>
      </c>
      <c r="AC102" s="384"/>
      <c r="AD102" s="384"/>
      <c r="AE102" s="384"/>
      <c r="AF102" s="384"/>
      <c r="AG102" s="384"/>
      <c r="AH102" s="384">
        <f t="shared" si="37"/>
        <v>2034</v>
      </c>
    </row>
    <row r="103" hidden="1" outlineLevel="1">
      <c r="A103" s="345"/>
      <c r="B103" s="346" t="s">
        <v>89</v>
      </c>
      <c r="C103" s="347" t="s">
        <v>243</v>
      </c>
      <c r="D103" s="348" t="s">
        <v>243</v>
      </c>
      <c r="E103" s="134" t="s">
        <v>232</v>
      </c>
      <c r="F103" s="349" t="s">
        <v>233</v>
      </c>
      <c r="G103" s="350" t="s">
        <v>233</v>
      </c>
      <c r="H103" s="351"/>
      <c r="I103" s="351"/>
      <c r="J103" s="351"/>
      <c r="K103" s="352" t="s">
        <v>81</v>
      </c>
      <c r="L103" s="365" t="s">
        <v>244</v>
      </c>
      <c r="M103" s="353"/>
      <c r="N103" s="354"/>
      <c r="O103" s="353"/>
      <c r="P103" s="355"/>
      <c r="Q103" s="145" t="s">
        <v>49</v>
      </c>
      <c r="R103" s="145"/>
      <c r="S103" s="356" t="s">
        <v>81</v>
      </c>
      <c r="T103" s="357">
        <v>8.0</v>
      </c>
      <c r="U103" s="356" t="s">
        <v>49</v>
      </c>
      <c r="V103" s="358"/>
      <c r="W103" s="359">
        <v>4990.0</v>
      </c>
      <c r="X103" s="346" t="s">
        <v>51</v>
      </c>
      <c r="Y103" s="360">
        <v>4990.0</v>
      </c>
      <c r="Z103" s="361">
        <f t="shared" si="35"/>
        <v>39920</v>
      </c>
      <c r="AA103" s="362">
        <v>0.15</v>
      </c>
      <c r="AB103" s="361">
        <f t="shared" si="36"/>
        <v>33932</v>
      </c>
      <c r="AC103" s="363"/>
      <c r="AD103" s="363"/>
      <c r="AE103" s="363"/>
      <c r="AF103" s="363"/>
      <c r="AG103" s="364">
        <v>0.1</v>
      </c>
      <c r="AH103" s="363">
        <f t="shared" si="37"/>
        <v>3393.2</v>
      </c>
    </row>
    <row r="104" hidden="1" outlineLevel="1">
      <c r="A104" s="345"/>
      <c r="B104" s="346" t="s">
        <v>89</v>
      </c>
      <c r="C104" s="387" t="s">
        <v>245</v>
      </c>
      <c r="D104" s="348" t="s">
        <v>245</v>
      </c>
      <c r="E104" s="134" t="s">
        <v>246</v>
      </c>
      <c r="F104" s="349" t="s">
        <v>233</v>
      </c>
      <c r="G104" s="350" t="s">
        <v>233</v>
      </c>
      <c r="H104" s="351"/>
      <c r="I104" s="351"/>
      <c r="J104" s="351"/>
      <c r="K104" s="365" t="s">
        <v>81</v>
      </c>
      <c r="L104" s="365" t="s">
        <v>218</v>
      </c>
      <c r="M104" s="353"/>
      <c r="N104" s="354"/>
      <c r="O104" s="353"/>
      <c r="P104" s="355"/>
      <c r="Q104" s="145" t="s">
        <v>49</v>
      </c>
      <c r="R104" s="145"/>
      <c r="S104" s="356" t="s">
        <v>81</v>
      </c>
      <c r="T104" s="357">
        <v>2.0</v>
      </c>
      <c r="U104" s="356" t="s">
        <v>49</v>
      </c>
      <c r="V104" s="358"/>
      <c r="W104" s="359">
        <v>4692.0</v>
      </c>
      <c r="X104" s="346" t="s">
        <v>51</v>
      </c>
      <c r="Y104" s="360">
        <v>4690.0</v>
      </c>
      <c r="Z104" s="361">
        <f t="shared" si="35"/>
        <v>9380</v>
      </c>
      <c r="AA104" s="362">
        <v>0.15</v>
      </c>
      <c r="AB104" s="361">
        <f t="shared" si="36"/>
        <v>7973</v>
      </c>
      <c r="AC104" s="363"/>
      <c r="AD104" s="363"/>
      <c r="AE104" s="363"/>
      <c r="AF104" s="363"/>
      <c r="AG104" s="364">
        <v>0.1</v>
      </c>
      <c r="AH104" s="363">
        <f t="shared" si="37"/>
        <v>797.3</v>
      </c>
    </row>
    <row r="105" hidden="1" outlineLevel="1">
      <c r="A105" s="366"/>
      <c r="B105" s="14" t="s">
        <v>89</v>
      </c>
      <c r="C105" s="367" t="s">
        <v>247</v>
      </c>
      <c r="D105" s="368" t="s">
        <v>247</v>
      </c>
      <c r="E105" s="259" t="s">
        <v>248</v>
      </c>
      <c r="F105" s="369" t="s">
        <v>237</v>
      </c>
      <c r="G105" s="259" t="s">
        <v>237</v>
      </c>
      <c r="H105" s="370"/>
      <c r="I105" s="370"/>
      <c r="J105" s="370"/>
      <c r="K105" s="371" t="s">
        <v>122</v>
      </c>
      <c r="L105" s="372">
        <f>1.89*2</f>
        <v>3.78</v>
      </c>
      <c r="M105" s="373"/>
      <c r="N105" s="374"/>
      <c r="O105" s="375"/>
      <c r="P105" s="376"/>
      <c r="Q105" s="377" t="s">
        <v>49</v>
      </c>
      <c r="R105" s="377"/>
      <c r="S105" s="378" t="s">
        <v>122</v>
      </c>
      <c r="T105" s="286">
        <v>3.78</v>
      </c>
      <c r="U105" s="378" t="s">
        <v>49</v>
      </c>
      <c r="V105" s="388"/>
      <c r="W105" s="389">
        <v>0.0</v>
      </c>
      <c r="X105" s="390" t="s">
        <v>51</v>
      </c>
      <c r="Y105" s="391">
        <f t="shared" ref="Y105:Y106" si="39">IFERROR(IF(X105="RUB",W105, IF(AND(W105="",X105=""),0,W105*INDIRECT(X105))),"Выберите валюту")</f>
        <v>0</v>
      </c>
      <c r="Z105" s="392">
        <f t="shared" si="35"/>
        <v>0</v>
      </c>
      <c r="AA105" s="393">
        <v>0.0</v>
      </c>
      <c r="AB105" s="392">
        <f t="shared" si="36"/>
        <v>0</v>
      </c>
      <c r="AC105" s="394"/>
      <c r="AD105" s="394"/>
      <c r="AE105" s="394"/>
      <c r="AF105" s="394"/>
      <c r="AG105" s="394"/>
      <c r="AH105" s="394">
        <f t="shared" si="37"/>
        <v>0</v>
      </c>
    </row>
    <row r="106" hidden="1" outlineLevel="1">
      <c r="A106" s="366"/>
      <c r="B106" s="14" t="s">
        <v>89</v>
      </c>
      <c r="C106" s="367" t="s">
        <v>249</v>
      </c>
      <c r="D106" s="368" t="s">
        <v>249</v>
      </c>
      <c r="E106" s="272" t="s">
        <v>239</v>
      </c>
      <c r="F106" s="260" t="s">
        <v>240</v>
      </c>
      <c r="G106" s="385" t="s">
        <v>240</v>
      </c>
      <c r="H106" s="370"/>
      <c r="I106" s="370"/>
      <c r="J106" s="370"/>
      <c r="K106" s="372" t="s">
        <v>81</v>
      </c>
      <c r="L106" s="372">
        <v>1.0</v>
      </c>
      <c r="M106" s="373"/>
      <c r="N106" s="374"/>
      <c r="O106" s="375"/>
      <c r="P106" s="376"/>
      <c r="Q106" s="377" t="s">
        <v>49</v>
      </c>
      <c r="R106" s="377"/>
      <c r="S106" s="378" t="s">
        <v>81</v>
      </c>
      <c r="T106" s="286">
        <v>1.0</v>
      </c>
      <c r="U106" s="378" t="s">
        <v>49</v>
      </c>
      <c r="V106" s="388"/>
      <c r="W106" s="389">
        <v>18570.0</v>
      </c>
      <c r="X106" s="390" t="s">
        <v>51</v>
      </c>
      <c r="Y106" s="391">
        <f t="shared" si="39"/>
        <v>18570</v>
      </c>
      <c r="Z106" s="392">
        <f t="shared" si="35"/>
        <v>18570</v>
      </c>
      <c r="AA106" s="393">
        <v>0.0</v>
      </c>
      <c r="AB106" s="392">
        <f t="shared" si="36"/>
        <v>18570</v>
      </c>
      <c r="AC106" s="394"/>
      <c r="AD106" s="394"/>
      <c r="AE106" s="394"/>
      <c r="AF106" s="394"/>
      <c r="AG106" s="394"/>
      <c r="AH106" s="394">
        <f t="shared" si="37"/>
        <v>1857</v>
      </c>
    </row>
    <row r="107" hidden="1" outlineLevel="1">
      <c r="A107" s="345"/>
      <c r="B107" s="346" t="s">
        <v>56</v>
      </c>
      <c r="C107" s="347" t="s">
        <v>250</v>
      </c>
      <c r="D107" s="348" t="s">
        <v>250</v>
      </c>
      <c r="E107" s="134" t="s">
        <v>232</v>
      </c>
      <c r="F107" s="349" t="s">
        <v>233</v>
      </c>
      <c r="G107" s="350" t="s">
        <v>233</v>
      </c>
      <c r="H107" s="351"/>
      <c r="I107" s="351"/>
      <c r="J107" s="352" t="s">
        <v>251</v>
      </c>
      <c r="K107" s="352" t="s">
        <v>81</v>
      </c>
      <c r="L107" s="365" t="s">
        <v>252</v>
      </c>
      <c r="M107" s="395"/>
      <c r="N107" s="396"/>
      <c r="O107" s="395"/>
      <c r="P107" s="397"/>
      <c r="Q107" s="145" t="s">
        <v>49</v>
      </c>
      <c r="R107" s="145"/>
      <c r="S107" s="356" t="s">
        <v>81</v>
      </c>
      <c r="T107" s="357">
        <v>6.0</v>
      </c>
      <c r="U107" s="356" t="s">
        <v>49</v>
      </c>
      <c r="V107" s="358"/>
      <c r="W107" s="359">
        <v>4990.0</v>
      </c>
      <c r="X107" s="346" t="s">
        <v>51</v>
      </c>
      <c r="Y107" s="360">
        <v>4990.0</v>
      </c>
      <c r="Z107" s="361">
        <f t="shared" si="35"/>
        <v>29940</v>
      </c>
      <c r="AA107" s="362">
        <v>0.15</v>
      </c>
      <c r="AB107" s="361">
        <f t="shared" si="36"/>
        <v>25449</v>
      </c>
      <c r="AC107" s="363"/>
      <c r="AD107" s="363"/>
      <c r="AE107" s="363"/>
      <c r="AF107" s="363"/>
      <c r="AG107" s="364">
        <v>0.1</v>
      </c>
      <c r="AH107" s="363">
        <f t="shared" si="37"/>
        <v>2544.9</v>
      </c>
    </row>
    <row r="108" hidden="1" outlineLevel="1">
      <c r="A108" s="366"/>
      <c r="B108" s="14" t="s">
        <v>56</v>
      </c>
      <c r="C108" s="398" t="s">
        <v>253</v>
      </c>
      <c r="D108" s="368" t="s">
        <v>253</v>
      </c>
      <c r="E108" s="259" t="s">
        <v>254</v>
      </c>
      <c r="F108" s="369" t="s">
        <v>237</v>
      </c>
      <c r="G108" s="259" t="s">
        <v>237</v>
      </c>
      <c r="H108" s="370"/>
      <c r="I108" s="370"/>
      <c r="J108" s="370"/>
      <c r="K108" s="371" t="s">
        <v>122</v>
      </c>
      <c r="L108" s="371" t="s">
        <v>218</v>
      </c>
      <c r="M108" s="399"/>
      <c r="N108" s="400"/>
      <c r="O108" s="401"/>
      <c r="P108" s="402"/>
      <c r="Q108" s="377" t="s">
        <v>49</v>
      </c>
      <c r="R108" s="377"/>
      <c r="S108" s="378" t="s">
        <v>122</v>
      </c>
      <c r="T108" s="286">
        <v>2.0</v>
      </c>
      <c r="U108" s="378" t="s">
        <v>49</v>
      </c>
      <c r="V108" s="379"/>
      <c r="W108" s="380">
        <v>0.0</v>
      </c>
      <c r="X108" s="14" t="s">
        <v>51</v>
      </c>
      <c r="Y108" s="381">
        <f t="shared" ref="Y108:Y112" si="40">IFERROR(IF(X108="RUB",W108, IF(AND(W108="",X108=""),0,W108*INDIRECT(X108))),"Выберите валюту")</f>
        <v>0</v>
      </c>
      <c r="Z108" s="382">
        <f t="shared" si="35"/>
        <v>0</v>
      </c>
      <c r="AA108" s="383">
        <v>0.1</v>
      </c>
      <c r="AB108" s="382">
        <f t="shared" si="36"/>
        <v>0</v>
      </c>
      <c r="AC108" s="384"/>
      <c r="AD108" s="384"/>
      <c r="AE108" s="384"/>
      <c r="AF108" s="384"/>
      <c r="AG108" s="384"/>
      <c r="AH108" s="384">
        <f t="shared" si="37"/>
        <v>0</v>
      </c>
    </row>
    <row r="109" hidden="1" outlineLevel="1">
      <c r="A109" s="366"/>
      <c r="B109" s="14" t="s">
        <v>56</v>
      </c>
      <c r="C109" s="312" t="s">
        <v>255</v>
      </c>
      <c r="D109" s="368" t="s">
        <v>255</v>
      </c>
      <c r="E109" s="2" t="s">
        <v>256</v>
      </c>
      <c r="F109" s="369" t="s">
        <v>237</v>
      </c>
      <c r="G109" s="259" t="s">
        <v>237</v>
      </c>
      <c r="H109" s="403"/>
      <c r="I109" s="403"/>
      <c r="J109" s="403"/>
      <c r="K109" s="404" t="s">
        <v>122</v>
      </c>
      <c r="L109" s="404" t="s">
        <v>257</v>
      </c>
      <c r="M109" s="405"/>
      <c r="N109" s="406"/>
      <c r="O109" s="401"/>
      <c r="P109" s="402"/>
      <c r="Q109" s="29" t="s">
        <v>49</v>
      </c>
      <c r="R109" s="29"/>
      <c r="S109" s="378" t="s">
        <v>122</v>
      </c>
      <c r="T109" s="286">
        <v>1.2</v>
      </c>
      <c r="U109" s="378" t="s">
        <v>49</v>
      </c>
      <c r="V109" s="379"/>
      <c r="W109" s="380">
        <v>0.0</v>
      </c>
      <c r="X109" s="14" t="s">
        <v>51</v>
      </c>
      <c r="Y109" s="407">
        <f t="shared" si="40"/>
        <v>0</v>
      </c>
      <c r="Z109" s="382">
        <f t="shared" si="35"/>
        <v>0</v>
      </c>
      <c r="AA109" s="383">
        <v>0.1</v>
      </c>
      <c r="AB109" s="382">
        <f t="shared" si="36"/>
        <v>0</v>
      </c>
      <c r="AC109" s="384"/>
      <c r="AD109" s="384"/>
      <c r="AE109" s="384"/>
      <c r="AF109" s="384"/>
      <c r="AG109" s="384"/>
      <c r="AH109" s="384">
        <f t="shared" si="37"/>
        <v>0</v>
      </c>
    </row>
    <row r="110" hidden="1" outlineLevel="1">
      <c r="A110" s="345"/>
      <c r="B110" s="346" t="s">
        <v>74</v>
      </c>
      <c r="C110" s="347" t="s">
        <v>258</v>
      </c>
      <c r="D110" s="348" t="s">
        <v>258</v>
      </c>
      <c r="E110" s="134" t="s">
        <v>259</v>
      </c>
      <c r="F110" s="349" t="s">
        <v>233</v>
      </c>
      <c r="G110" s="350" t="s">
        <v>233</v>
      </c>
      <c r="H110" s="351"/>
      <c r="I110" s="351"/>
      <c r="J110" s="351"/>
      <c r="K110" s="352" t="s">
        <v>81</v>
      </c>
      <c r="L110" s="365" t="s">
        <v>218</v>
      </c>
      <c r="M110" s="395"/>
      <c r="N110" s="396"/>
      <c r="O110" s="395"/>
      <c r="P110" s="397"/>
      <c r="Q110" s="145" t="s">
        <v>49</v>
      </c>
      <c r="R110" s="145"/>
      <c r="S110" s="356" t="s">
        <v>81</v>
      </c>
      <c r="T110" s="357">
        <v>2.0</v>
      </c>
      <c r="U110" s="356" t="s">
        <v>49</v>
      </c>
      <c r="V110" s="358"/>
      <c r="W110" s="359">
        <v>9990.0</v>
      </c>
      <c r="X110" s="346" t="s">
        <v>51</v>
      </c>
      <c r="Y110" s="360">
        <f t="shared" si="40"/>
        <v>9990</v>
      </c>
      <c r="Z110" s="361">
        <f t="shared" si="35"/>
        <v>19980</v>
      </c>
      <c r="AA110" s="362">
        <v>0.15</v>
      </c>
      <c r="AB110" s="361">
        <f t="shared" si="36"/>
        <v>16983</v>
      </c>
      <c r="AC110" s="363"/>
      <c r="AD110" s="363"/>
      <c r="AE110" s="363"/>
      <c r="AF110" s="363"/>
      <c r="AG110" s="363"/>
      <c r="AH110" s="363">
        <f t="shared" si="37"/>
        <v>1698.3</v>
      </c>
    </row>
    <row r="111" hidden="1" outlineLevel="1">
      <c r="A111" s="366"/>
      <c r="B111" s="14" t="s">
        <v>74</v>
      </c>
      <c r="C111" s="284" t="s">
        <v>260</v>
      </c>
      <c r="D111" s="368" t="s">
        <v>260</v>
      </c>
      <c r="E111" s="221" t="s">
        <v>261</v>
      </c>
      <c r="F111" s="260" t="s">
        <v>240</v>
      </c>
      <c r="G111" s="408" t="s">
        <v>240</v>
      </c>
      <c r="H111" s="403"/>
      <c r="I111" s="403"/>
      <c r="J111" s="403"/>
      <c r="K111" s="409" t="s">
        <v>81</v>
      </c>
      <c r="L111" s="404" t="s">
        <v>146</v>
      </c>
      <c r="M111" s="405"/>
      <c r="N111" s="406"/>
      <c r="O111" s="401"/>
      <c r="P111" s="402"/>
      <c r="Q111" s="29" t="s">
        <v>49</v>
      </c>
      <c r="R111" s="29"/>
      <c r="S111" s="378" t="s">
        <v>81</v>
      </c>
      <c r="T111" s="286">
        <v>1.0</v>
      </c>
      <c r="U111" s="378" t="s">
        <v>49</v>
      </c>
      <c r="V111" s="379"/>
      <c r="W111" s="386">
        <v>92990.0</v>
      </c>
      <c r="X111" s="14" t="s">
        <v>51</v>
      </c>
      <c r="Y111" s="407">
        <f t="shared" si="40"/>
        <v>92990</v>
      </c>
      <c r="Z111" s="382">
        <f t="shared" si="35"/>
        <v>92990</v>
      </c>
      <c r="AA111" s="383">
        <v>0.0</v>
      </c>
      <c r="AB111" s="382">
        <f t="shared" si="36"/>
        <v>92990</v>
      </c>
      <c r="AC111" s="384"/>
      <c r="AD111" s="384"/>
      <c r="AE111" s="384"/>
      <c r="AF111" s="384"/>
      <c r="AG111" s="384"/>
      <c r="AH111" s="384">
        <f t="shared" si="37"/>
        <v>9299</v>
      </c>
    </row>
    <row r="112" hidden="1" outlineLevel="1">
      <c r="A112" s="366"/>
      <c r="B112" s="14" t="s">
        <v>74</v>
      </c>
      <c r="C112" s="367" t="s">
        <v>262</v>
      </c>
      <c r="D112" s="368" t="s">
        <v>262</v>
      </c>
      <c r="E112" s="272" t="s">
        <v>263</v>
      </c>
      <c r="F112" s="369" t="s">
        <v>237</v>
      </c>
      <c r="G112" s="259" t="s">
        <v>237</v>
      </c>
      <c r="H112" s="370"/>
      <c r="I112" s="370"/>
      <c r="J112" s="370"/>
      <c r="K112" s="371" t="s">
        <v>122</v>
      </c>
      <c r="L112" s="371" t="s">
        <v>264</v>
      </c>
      <c r="M112" s="399"/>
      <c r="N112" s="400"/>
      <c r="O112" s="401"/>
      <c r="P112" s="402"/>
      <c r="Q112" s="377" t="s">
        <v>49</v>
      </c>
      <c r="R112" s="377"/>
      <c r="S112" s="378" t="s">
        <v>122</v>
      </c>
      <c r="T112" s="286">
        <v>9.45</v>
      </c>
      <c r="U112" s="378" t="s">
        <v>49</v>
      </c>
      <c r="V112" s="379"/>
      <c r="W112" s="380">
        <v>0.0</v>
      </c>
      <c r="X112" s="14" t="s">
        <v>51</v>
      </c>
      <c r="Y112" s="381">
        <f t="shared" si="40"/>
        <v>0</v>
      </c>
      <c r="Z112" s="382">
        <f t="shared" si="35"/>
        <v>0</v>
      </c>
      <c r="AA112" s="383">
        <v>0.0</v>
      </c>
      <c r="AB112" s="382">
        <f t="shared" si="36"/>
        <v>0</v>
      </c>
      <c r="AC112" s="384"/>
      <c r="AD112" s="384"/>
      <c r="AE112" s="384"/>
      <c r="AF112" s="384"/>
      <c r="AG112" s="384"/>
      <c r="AH112" s="384">
        <f t="shared" si="37"/>
        <v>0</v>
      </c>
    </row>
    <row r="113" hidden="1" outlineLevel="1">
      <c r="A113" s="345"/>
      <c r="B113" s="410" t="s">
        <v>74</v>
      </c>
      <c r="C113" s="347" t="s">
        <v>265</v>
      </c>
      <c r="D113" s="348" t="s">
        <v>265</v>
      </c>
      <c r="E113" s="134" t="s">
        <v>232</v>
      </c>
      <c r="F113" s="349" t="s">
        <v>233</v>
      </c>
      <c r="G113" s="350" t="s">
        <v>233</v>
      </c>
      <c r="H113" s="351"/>
      <c r="I113" s="351"/>
      <c r="J113" s="351"/>
      <c r="K113" s="352" t="s">
        <v>81</v>
      </c>
      <c r="L113" s="365" t="s">
        <v>266</v>
      </c>
      <c r="M113" s="353"/>
      <c r="N113" s="354"/>
      <c r="O113" s="353"/>
      <c r="P113" s="355"/>
      <c r="Q113" s="145" t="s">
        <v>49</v>
      </c>
      <c r="R113" s="145"/>
      <c r="S113" s="356" t="s">
        <v>81</v>
      </c>
      <c r="T113" s="357">
        <v>5.0</v>
      </c>
      <c r="U113" s="356" t="s">
        <v>49</v>
      </c>
      <c r="V113" s="358"/>
      <c r="W113" s="359">
        <v>4990.0</v>
      </c>
      <c r="X113" s="346" t="s">
        <v>51</v>
      </c>
      <c r="Y113" s="360">
        <v>4990.0</v>
      </c>
      <c r="Z113" s="361">
        <f t="shared" si="35"/>
        <v>24950</v>
      </c>
      <c r="AA113" s="362">
        <v>0.15</v>
      </c>
      <c r="AB113" s="361">
        <f t="shared" si="36"/>
        <v>21207.5</v>
      </c>
      <c r="AC113" s="363"/>
      <c r="AD113" s="363"/>
      <c r="AE113" s="363"/>
      <c r="AF113" s="363"/>
      <c r="AG113" s="364">
        <v>0.1</v>
      </c>
      <c r="AH113" s="363">
        <f t="shared" si="37"/>
        <v>2120.75</v>
      </c>
    </row>
    <row r="114" hidden="1" outlineLevel="1">
      <c r="A114" s="345"/>
      <c r="B114" s="410" t="s">
        <v>74</v>
      </c>
      <c r="C114" s="387" t="s">
        <v>267</v>
      </c>
      <c r="D114" s="348" t="s">
        <v>267</v>
      </c>
      <c r="E114" s="134" t="s">
        <v>268</v>
      </c>
      <c r="F114" s="349" t="s">
        <v>233</v>
      </c>
      <c r="G114" s="350" t="s">
        <v>233</v>
      </c>
      <c r="H114" s="351"/>
      <c r="I114" s="351"/>
      <c r="J114" s="351"/>
      <c r="K114" s="365" t="s">
        <v>81</v>
      </c>
      <c r="L114" s="365" t="s">
        <v>252</v>
      </c>
      <c r="M114" s="353"/>
      <c r="N114" s="354"/>
      <c r="O114" s="353"/>
      <c r="P114" s="355"/>
      <c r="Q114" s="145" t="s">
        <v>49</v>
      </c>
      <c r="R114" s="145"/>
      <c r="S114" s="356" t="s">
        <v>81</v>
      </c>
      <c r="T114" s="357">
        <v>6.0</v>
      </c>
      <c r="U114" s="356" t="s">
        <v>49</v>
      </c>
      <c r="V114" s="358"/>
      <c r="W114" s="359">
        <v>6790.0</v>
      </c>
      <c r="X114" s="346" t="s">
        <v>51</v>
      </c>
      <c r="Y114" s="360">
        <v>6790.0</v>
      </c>
      <c r="Z114" s="361">
        <f t="shared" si="35"/>
        <v>40740</v>
      </c>
      <c r="AA114" s="362">
        <v>0.15</v>
      </c>
      <c r="AB114" s="361">
        <f t="shared" si="36"/>
        <v>34629</v>
      </c>
      <c r="AC114" s="363"/>
      <c r="AD114" s="363"/>
      <c r="AE114" s="363"/>
      <c r="AF114" s="363"/>
      <c r="AG114" s="364">
        <v>0.1</v>
      </c>
      <c r="AH114" s="363">
        <f t="shared" si="37"/>
        <v>3462.9</v>
      </c>
    </row>
    <row r="115" hidden="1" outlineLevel="1">
      <c r="A115" s="345"/>
      <c r="B115" s="410"/>
      <c r="C115" s="387"/>
      <c r="D115" s="411"/>
      <c r="E115" s="134" t="s">
        <v>269</v>
      </c>
      <c r="F115" s="412"/>
      <c r="G115" s="350"/>
      <c r="H115" s="351"/>
      <c r="I115" s="351"/>
      <c r="J115" s="351"/>
      <c r="K115" s="365" t="s">
        <v>81</v>
      </c>
      <c r="L115" s="365" t="s">
        <v>218</v>
      </c>
      <c r="M115" s="353"/>
      <c r="N115" s="354"/>
      <c r="O115" s="353"/>
      <c r="P115" s="355"/>
      <c r="Q115" s="145" t="s">
        <v>49</v>
      </c>
      <c r="R115" s="145"/>
      <c r="S115" s="356" t="s">
        <v>81</v>
      </c>
      <c r="T115" s="357">
        <v>2.0</v>
      </c>
      <c r="U115" s="356" t="s">
        <v>49</v>
      </c>
      <c r="V115" s="358"/>
      <c r="W115" s="359">
        <v>11990.0</v>
      </c>
      <c r="X115" s="346" t="s">
        <v>51</v>
      </c>
      <c r="Y115" s="360">
        <v>11990.0</v>
      </c>
      <c r="Z115" s="361">
        <f t="shared" si="35"/>
        <v>23980</v>
      </c>
      <c r="AA115" s="362">
        <v>0.05</v>
      </c>
      <c r="AB115" s="361">
        <f t="shared" si="36"/>
        <v>22781</v>
      </c>
      <c r="AC115" s="363"/>
      <c r="AD115" s="363"/>
      <c r="AE115" s="363"/>
      <c r="AF115" s="363"/>
      <c r="AG115" s="364">
        <v>0.1</v>
      </c>
      <c r="AH115" s="363">
        <f t="shared" si="37"/>
        <v>2278.1</v>
      </c>
    </row>
    <row r="116" hidden="1" outlineLevel="1">
      <c r="A116" s="366"/>
      <c r="B116" s="14" t="s">
        <v>82</v>
      </c>
      <c r="C116" s="284" t="s">
        <v>270</v>
      </c>
      <c r="D116" s="368" t="s">
        <v>270</v>
      </c>
      <c r="E116" s="2" t="s">
        <v>261</v>
      </c>
      <c r="F116" s="260" t="s">
        <v>240</v>
      </c>
      <c r="G116" s="408" t="s">
        <v>240</v>
      </c>
      <c r="H116" s="403"/>
      <c r="I116" s="403"/>
      <c r="J116" s="403"/>
      <c r="K116" s="409" t="s">
        <v>81</v>
      </c>
      <c r="L116" s="404" t="s">
        <v>146</v>
      </c>
      <c r="M116" s="405"/>
      <c r="N116" s="406"/>
      <c r="O116" s="401"/>
      <c r="P116" s="402"/>
      <c r="Q116" s="29" t="s">
        <v>49</v>
      </c>
      <c r="R116" s="29"/>
      <c r="S116" s="378" t="s">
        <v>81</v>
      </c>
      <c r="T116" s="286">
        <v>1.0</v>
      </c>
      <c r="U116" s="378" t="s">
        <v>49</v>
      </c>
      <c r="V116" s="379"/>
      <c r="W116" s="413">
        <v>24310.0</v>
      </c>
      <c r="X116" s="14" t="s">
        <v>51</v>
      </c>
      <c r="Y116" s="407">
        <f t="shared" ref="Y116:Y118" si="41">IFERROR(IF(X116="RUB",W116, IF(AND(W116="",X116=""),0,W116*INDIRECT(X116))),"Выберите валюту")</f>
        <v>24310</v>
      </c>
      <c r="Z116" s="382">
        <f t="shared" si="35"/>
        <v>24310</v>
      </c>
      <c r="AA116" s="383">
        <v>0.0</v>
      </c>
      <c r="AB116" s="382">
        <f t="shared" si="36"/>
        <v>24310</v>
      </c>
      <c r="AC116" s="384"/>
      <c r="AD116" s="384"/>
      <c r="AE116" s="384"/>
      <c r="AF116" s="384"/>
      <c r="AG116" s="384"/>
      <c r="AH116" s="384">
        <f t="shared" si="37"/>
        <v>2431</v>
      </c>
    </row>
    <row r="117" hidden="1" outlineLevel="1">
      <c r="A117" s="366"/>
      <c r="B117" s="14" t="s">
        <v>82</v>
      </c>
      <c r="C117" s="367" t="s">
        <v>271</v>
      </c>
      <c r="D117" s="368" t="s">
        <v>271</v>
      </c>
      <c r="E117" s="272" t="s">
        <v>272</v>
      </c>
      <c r="F117" s="414" t="s">
        <v>154</v>
      </c>
      <c r="G117" s="370" t="s">
        <v>273</v>
      </c>
      <c r="H117" s="370"/>
      <c r="I117" s="370"/>
      <c r="J117" s="370"/>
      <c r="K117" s="372" t="s">
        <v>81</v>
      </c>
      <c r="L117" s="372">
        <v>1.0</v>
      </c>
      <c r="M117" s="373"/>
      <c r="N117" s="374"/>
      <c r="O117" s="375"/>
      <c r="P117" s="376"/>
      <c r="Q117" s="377" t="s">
        <v>49</v>
      </c>
      <c r="R117" s="377"/>
      <c r="S117" s="378" t="s">
        <v>81</v>
      </c>
      <c r="T117" s="286">
        <v>1.0</v>
      </c>
      <c r="U117" s="378" t="s">
        <v>49</v>
      </c>
      <c r="V117" s="379"/>
      <c r="W117" s="386">
        <v>22600.0</v>
      </c>
      <c r="X117" s="14" t="s">
        <v>51</v>
      </c>
      <c r="Y117" s="381">
        <f t="shared" si="41"/>
        <v>22600</v>
      </c>
      <c r="Z117" s="382">
        <f t="shared" si="35"/>
        <v>22600</v>
      </c>
      <c r="AA117" s="383">
        <v>0.1</v>
      </c>
      <c r="AB117" s="382">
        <f t="shared" si="36"/>
        <v>20340</v>
      </c>
      <c r="AC117" s="384"/>
      <c r="AD117" s="384"/>
      <c r="AE117" s="384"/>
      <c r="AF117" s="384"/>
      <c r="AG117" s="384"/>
      <c r="AH117" s="384">
        <f t="shared" si="37"/>
        <v>2034</v>
      </c>
    </row>
    <row r="118" hidden="1" outlineLevel="1">
      <c r="A118" s="366"/>
      <c r="B118" s="14" t="s">
        <v>82</v>
      </c>
      <c r="C118" s="367" t="s">
        <v>274</v>
      </c>
      <c r="D118" s="368" t="s">
        <v>274</v>
      </c>
      <c r="E118" s="272" t="s">
        <v>275</v>
      </c>
      <c r="F118" s="260" t="s">
        <v>276</v>
      </c>
      <c r="G118" s="370" t="s">
        <v>276</v>
      </c>
      <c r="H118" s="370"/>
      <c r="I118" s="370"/>
      <c r="J118" s="370"/>
      <c r="K118" s="372" t="s">
        <v>81</v>
      </c>
      <c r="L118" s="372">
        <v>1.0</v>
      </c>
      <c r="M118" s="373"/>
      <c r="N118" s="374"/>
      <c r="O118" s="375"/>
      <c r="P118" s="376"/>
      <c r="Q118" s="377" t="s">
        <v>49</v>
      </c>
      <c r="R118" s="377"/>
      <c r="S118" s="378" t="s">
        <v>81</v>
      </c>
      <c r="T118" s="286">
        <v>1.0</v>
      </c>
      <c r="U118" s="378" t="s">
        <v>49</v>
      </c>
      <c r="V118" s="379"/>
      <c r="W118" s="380">
        <v>11990.0</v>
      </c>
      <c r="X118" s="14" t="s">
        <v>51</v>
      </c>
      <c r="Y118" s="381">
        <f t="shared" si="41"/>
        <v>11990</v>
      </c>
      <c r="Z118" s="382">
        <f t="shared" si="35"/>
        <v>11990</v>
      </c>
      <c r="AA118" s="383">
        <v>0.1</v>
      </c>
      <c r="AB118" s="382">
        <f t="shared" si="36"/>
        <v>10791</v>
      </c>
      <c r="AC118" s="384"/>
      <c r="AD118" s="384"/>
      <c r="AE118" s="384"/>
      <c r="AF118" s="384"/>
      <c r="AG118" s="384"/>
      <c r="AH118" s="384">
        <f t="shared" si="37"/>
        <v>1079.1</v>
      </c>
    </row>
    <row r="119" hidden="1" outlineLevel="1">
      <c r="A119" s="345"/>
      <c r="B119" s="132" t="s">
        <v>82</v>
      </c>
      <c r="C119" s="387" t="s">
        <v>277</v>
      </c>
      <c r="D119" s="348" t="s">
        <v>277</v>
      </c>
      <c r="E119" s="134" t="s">
        <v>232</v>
      </c>
      <c r="F119" s="349" t="s">
        <v>233</v>
      </c>
      <c r="G119" s="350" t="s">
        <v>233</v>
      </c>
      <c r="H119" s="351"/>
      <c r="I119" s="351"/>
      <c r="J119" s="351"/>
      <c r="K119" s="352" t="s">
        <v>81</v>
      </c>
      <c r="L119" s="365" t="s">
        <v>278</v>
      </c>
      <c r="M119" s="395"/>
      <c r="N119" s="396"/>
      <c r="O119" s="395"/>
      <c r="P119" s="397"/>
      <c r="Q119" s="145" t="s">
        <v>49</v>
      </c>
      <c r="R119" s="145"/>
      <c r="S119" s="356" t="s">
        <v>81</v>
      </c>
      <c r="T119" s="357">
        <v>7.0</v>
      </c>
      <c r="U119" s="356" t="s">
        <v>49</v>
      </c>
      <c r="V119" s="358"/>
      <c r="W119" s="359">
        <v>4990.0</v>
      </c>
      <c r="X119" s="346" t="s">
        <v>51</v>
      </c>
      <c r="Y119" s="360">
        <v>4990.0</v>
      </c>
      <c r="Z119" s="361">
        <f t="shared" si="35"/>
        <v>34930</v>
      </c>
      <c r="AA119" s="362">
        <v>0.15</v>
      </c>
      <c r="AB119" s="361">
        <f t="shared" si="36"/>
        <v>29690.5</v>
      </c>
      <c r="AC119" s="363"/>
      <c r="AD119" s="363"/>
      <c r="AE119" s="363"/>
      <c r="AF119" s="363"/>
      <c r="AG119" s="364">
        <v>0.1</v>
      </c>
      <c r="AH119" s="363">
        <f t="shared" si="37"/>
        <v>2969.05</v>
      </c>
    </row>
    <row r="120" hidden="1" outlineLevel="1">
      <c r="A120" s="345"/>
      <c r="B120" s="132" t="s">
        <v>82</v>
      </c>
      <c r="C120" s="387" t="s">
        <v>279</v>
      </c>
      <c r="D120" s="348" t="s">
        <v>279</v>
      </c>
      <c r="E120" s="134" t="s">
        <v>246</v>
      </c>
      <c r="F120" s="349" t="s">
        <v>233</v>
      </c>
      <c r="G120" s="350" t="s">
        <v>233</v>
      </c>
      <c r="H120" s="351"/>
      <c r="I120" s="351"/>
      <c r="J120" s="351"/>
      <c r="K120" s="365" t="s">
        <v>81</v>
      </c>
      <c r="L120" s="365" t="s">
        <v>218</v>
      </c>
      <c r="M120" s="395"/>
      <c r="N120" s="396"/>
      <c r="O120" s="395"/>
      <c r="P120" s="397"/>
      <c r="Q120" s="145" t="s">
        <v>49</v>
      </c>
      <c r="R120" s="145"/>
      <c r="S120" s="356" t="s">
        <v>81</v>
      </c>
      <c r="T120" s="357">
        <v>2.0</v>
      </c>
      <c r="U120" s="356" t="s">
        <v>49</v>
      </c>
      <c r="V120" s="358"/>
      <c r="W120" s="359">
        <v>4692.0</v>
      </c>
      <c r="X120" s="346" t="s">
        <v>51</v>
      </c>
      <c r="Y120" s="360">
        <v>4692.0</v>
      </c>
      <c r="Z120" s="361">
        <f t="shared" si="35"/>
        <v>9384</v>
      </c>
      <c r="AA120" s="362">
        <v>0.15</v>
      </c>
      <c r="AB120" s="361">
        <f t="shared" si="36"/>
        <v>7976.4</v>
      </c>
      <c r="AC120" s="363"/>
      <c r="AD120" s="363"/>
      <c r="AE120" s="363"/>
      <c r="AF120" s="363"/>
      <c r="AG120" s="364">
        <v>0.1</v>
      </c>
      <c r="AH120" s="363">
        <f t="shared" si="37"/>
        <v>797.64</v>
      </c>
    </row>
    <row r="121" hidden="1" outlineLevel="1">
      <c r="A121" s="366"/>
      <c r="B121" s="74" t="s">
        <v>96</v>
      </c>
      <c r="C121" s="367" t="s">
        <v>280</v>
      </c>
      <c r="D121" s="368" t="s">
        <v>280</v>
      </c>
      <c r="E121" s="272" t="s">
        <v>281</v>
      </c>
      <c r="F121" s="260" t="s">
        <v>282</v>
      </c>
      <c r="G121" s="370" t="s">
        <v>282</v>
      </c>
      <c r="H121" s="370"/>
      <c r="I121" s="370"/>
      <c r="J121" s="370"/>
      <c r="K121" s="372" t="s">
        <v>81</v>
      </c>
      <c r="L121" s="372">
        <v>1.0</v>
      </c>
      <c r="M121" s="373"/>
      <c r="N121" s="374"/>
      <c r="O121" s="375"/>
      <c r="P121" s="376"/>
      <c r="Q121" s="377" t="s">
        <v>49</v>
      </c>
      <c r="R121" s="377"/>
      <c r="S121" s="378" t="s">
        <v>81</v>
      </c>
      <c r="T121" s="286">
        <v>1.0</v>
      </c>
      <c r="U121" s="378" t="s">
        <v>49</v>
      </c>
      <c r="V121" s="379"/>
      <c r="W121" s="380">
        <v>61900.0</v>
      </c>
      <c r="X121" s="14" t="s">
        <v>51</v>
      </c>
      <c r="Y121" s="381">
        <f t="shared" ref="Y121:Y124" si="42">IFERROR(IF(X121="RUB",W121, IF(AND(W121="",X121=""),0,W121*INDIRECT(X121))),"Выберите валюту")</f>
        <v>61900</v>
      </c>
      <c r="Z121" s="382">
        <f t="shared" si="35"/>
        <v>61900</v>
      </c>
      <c r="AA121" s="383">
        <v>0.1</v>
      </c>
      <c r="AB121" s="382">
        <f t="shared" si="36"/>
        <v>55710</v>
      </c>
      <c r="AC121" s="384"/>
      <c r="AD121" s="384"/>
      <c r="AE121" s="384"/>
      <c r="AF121" s="384"/>
      <c r="AG121" s="384"/>
      <c r="AH121" s="384">
        <f t="shared" si="37"/>
        <v>5571</v>
      </c>
    </row>
    <row r="122" hidden="1" outlineLevel="1">
      <c r="A122" s="345"/>
      <c r="B122" s="132" t="s">
        <v>96</v>
      </c>
      <c r="C122" s="347" t="s">
        <v>283</v>
      </c>
      <c r="D122" s="348" t="s">
        <v>283</v>
      </c>
      <c r="E122" s="134" t="s">
        <v>284</v>
      </c>
      <c r="F122" s="415" t="s">
        <v>233</v>
      </c>
      <c r="G122" s="351" t="s">
        <v>282</v>
      </c>
      <c r="H122" s="416"/>
      <c r="I122" s="416"/>
      <c r="J122" s="416"/>
      <c r="K122" s="352" t="s">
        <v>81</v>
      </c>
      <c r="L122" s="352">
        <v>1.0</v>
      </c>
      <c r="M122" s="353"/>
      <c r="N122" s="354"/>
      <c r="O122" s="353"/>
      <c r="P122" s="355"/>
      <c r="Q122" s="145" t="s">
        <v>49</v>
      </c>
      <c r="R122" s="145"/>
      <c r="S122" s="356" t="s">
        <v>81</v>
      </c>
      <c r="T122" s="357">
        <v>1.0</v>
      </c>
      <c r="U122" s="356" t="s">
        <v>49</v>
      </c>
      <c r="V122" s="358"/>
      <c r="W122" s="359">
        <v>8990.0</v>
      </c>
      <c r="X122" s="346" t="s">
        <v>51</v>
      </c>
      <c r="Y122" s="360">
        <f t="shared" si="42"/>
        <v>8990</v>
      </c>
      <c r="Z122" s="361">
        <f t="shared" si="35"/>
        <v>8990</v>
      </c>
      <c r="AA122" s="362">
        <v>0.15</v>
      </c>
      <c r="AB122" s="361">
        <f t="shared" si="36"/>
        <v>7641.5</v>
      </c>
      <c r="AC122" s="363"/>
      <c r="AD122" s="363"/>
      <c r="AE122" s="363"/>
      <c r="AF122" s="363"/>
      <c r="AG122" s="364">
        <v>0.1</v>
      </c>
      <c r="AH122" s="363">
        <f t="shared" si="37"/>
        <v>764.15</v>
      </c>
    </row>
    <row r="123" hidden="1" outlineLevel="1">
      <c r="A123" s="345"/>
      <c r="B123" s="132" t="s">
        <v>96</v>
      </c>
      <c r="C123" s="347" t="s">
        <v>285</v>
      </c>
      <c r="D123" s="348" t="s">
        <v>285</v>
      </c>
      <c r="E123" s="134" t="s">
        <v>286</v>
      </c>
      <c r="F123" s="415" t="s">
        <v>233</v>
      </c>
      <c r="G123" s="350" t="s">
        <v>276</v>
      </c>
      <c r="H123" s="351"/>
      <c r="I123" s="351"/>
      <c r="J123" s="351"/>
      <c r="K123" s="352" t="s">
        <v>81</v>
      </c>
      <c r="L123" s="365" t="s">
        <v>218</v>
      </c>
      <c r="M123" s="353"/>
      <c r="N123" s="354"/>
      <c r="O123" s="353"/>
      <c r="P123" s="355"/>
      <c r="Q123" s="145" t="s">
        <v>49</v>
      </c>
      <c r="R123" s="145"/>
      <c r="S123" s="356" t="s">
        <v>81</v>
      </c>
      <c r="T123" s="357">
        <v>2.0</v>
      </c>
      <c r="U123" s="356" t="s">
        <v>49</v>
      </c>
      <c r="V123" s="358"/>
      <c r="W123" s="359">
        <v>8200.0</v>
      </c>
      <c r="X123" s="346" t="s">
        <v>51</v>
      </c>
      <c r="Y123" s="360">
        <f t="shared" si="42"/>
        <v>8200</v>
      </c>
      <c r="Z123" s="361">
        <f t="shared" si="35"/>
        <v>16400</v>
      </c>
      <c r="AA123" s="362">
        <v>0.15</v>
      </c>
      <c r="AB123" s="361">
        <f t="shared" si="36"/>
        <v>13940</v>
      </c>
      <c r="AC123" s="363"/>
      <c r="AD123" s="363"/>
      <c r="AE123" s="363"/>
      <c r="AF123" s="363"/>
      <c r="AG123" s="364">
        <v>0.1</v>
      </c>
      <c r="AH123" s="363">
        <f t="shared" si="37"/>
        <v>1394</v>
      </c>
    </row>
    <row r="124" hidden="1" outlineLevel="1">
      <c r="A124" s="366"/>
      <c r="B124" s="74" t="s">
        <v>96</v>
      </c>
      <c r="C124" s="367" t="s">
        <v>287</v>
      </c>
      <c r="D124" s="368" t="s">
        <v>287</v>
      </c>
      <c r="E124" s="259" t="s">
        <v>288</v>
      </c>
      <c r="F124" s="414" t="s">
        <v>154</v>
      </c>
      <c r="G124" s="385" t="s">
        <v>289</v>
      </c>
      <c r="H124" s="370"/>
      <c r="I124" s="370"/>
      <c r="J124" s="370"/>
      <c r="K124" s="372" t="s">
        <v>81</v>
      </c>
      <c r="L124" s="371" t="s">
        <v>146</v>
      </c>
      <c r="M124" s="373"/>
      <c r="N124" s="374"/>
      <c r="O124" s="375"/>
      <c r="P124" s="376"/>
      <c r="Q124" s="377" t="s">
        <v>49</v>
      </c>
      <c r="R124" s="377"/>
      <c r="S124" s="378" t="s">
        <v>81</v>
      </c>
      <c r="T124" s="286">
        <v>1.0</v>
      </c>
      <c r="U124" s="378" t="s">
        <v>49</v>
      </c>
      <c r="V124" s="379"/>
      <c r="W124" s="386">
        <v>22600.0</v>
      </c>
      <c r="X124" s="14" t="s">
        <v>51</v>
      </c>
      <c r="Y124" s="381">
        <f t="shared" si="42"/>
        <v>22600</v>
      </c>
      <c r="Z124" s="382">
        <f t="shared" si="35"/>
        <v>22600</v>
      </c>
      <c r="AA124" s="383">
        <v>0.1</v>
      </c>
      <c r="AB124" s="382">
        <f t="shared" si="36"/>
        <v>20340</v>
      </c>
      <c r="AC124" s="384"/>
      <c r="AD124" s="384"/>
      <c r="AE124" s="384"/>
      <c r="AF124" s="384"/>
      <c r="AG124" s="384"/>
      <c r="AH124" s="384">
        <f t="shared" si="37"/>
        <v>2034</v>
      </c>
    </row>
    <row r="125" hidden="1" outlineLevel="1">
      <c r="A125" s="345"/>
      <c r="B125" s="132" t="s">
        <v>96</v>
      </c>
      <c r="C125" s="347" t="s">
        <v>290</v>
      </c>
      <c r="D125" s="348" t="s">
        <v>290</v>
      </c>
      <c r="E125" s="134" t="s">
        <v>232</v>
      </c>
      <c r="F125" s="349" t="s">
        <v>233</v>
      </c>
      <c r="G125" s="350" t="s">
        <v>233</v>
      </c>
      <c r="H125" s="351"/>
      <c r="I125" s="351"/>
      <c r="J125" s="351"/>
      <c r="K125" s="352" t="s">
        <v>81</v>
      </c>
      <c r="L125" s="365" t="s">
        <v>266</v>
      </c>
      <c r="M125" s="395"/>
      <c r="N125" s="396"/>
      <c r="O125" s="395"/>
      <c r="P125" s="397"/>
      <c r="Q125" s="145" t="s">
        <v>49</v>
      </c>
      <c r="R125" s="145"/>
      <c r="S125" s="356" t="s">
        <v>81</v>
      </c>
      <c r="T125" s="357">
        <v>5.0</v>
      </c>
      <c r="U125" s="356" t="s">
        <v>49</v>
      </c>
      <c r="V125" s="358"/>
      <c r="W125" s="359">
        <v>4990.0</v>
      </c>
      <c r="X125" s="346" t="s">
        <v>51</v>
      </c>
      <c r="Y125" s="360">
        <v>4990.0</v>
      </c>
      <c r="Z125" s="361">
        <f t="shared" si="35"/>
        <v>24950</v>
      </c>
      <c r="AA125" s="362">
        <v>0.15</v>
      </c>
      <c r="AB125" s="361">
        <f t="shared" si="36"/>
        <v>21207.5</v>
      </c>
      <c r="AC125" s="363"/>
      <c r="AD125" s="363"/>
      <c r="AE125" s="363"/>
      <c r="AF125" s="363"/>
      <c r="AG125" s="364">
        <v>0.1</v>
      </c>
      <c r="AH125" s="363">
        <f t="shared" si="37"/>
        <v>2120.75</v>
      </c>
    </row>
    <row r="126" hidden="1" outlineLevel="1">
      <c r="A126" s="345"/>
      <c r="B126" s="132" t="s">
        <v>96</v>
      </c>
      <c r="C126" s="387" t="s">
        <v>291</v>
      </c>
      <c r="D126" s="348" t="s">
        <v>291</v>
      </c>
      <c r="E126" s="134" t="s">
        <v>246</v>
      </c>
      <c r="F126" s="349" t="s">
        <v>233</v>
      </c>
      <c r="G126" s="350" t="s">
        <v>233</v>
      </c>
      <c r="H126" s="351"/>
      <c r="I126" s="351"/>
      <c r="J126" s="351"/>
      <c r="K126" s="365" t="s">
        <v>81</v>
      </c>
      <c r="L126" s="365" t="s">
        <v>218</v>
      </c>
      <c r="M126" s="395"/>
      <c r="N126" s="396"/>
      <c r="O126" s="395"/>
      <c r="P126" s="397"/>
      <c r="Q126" s="145" t="s">
        <v>49</v>
      </c>
      <c r="R126" s="145"/>
      <c r="S126" s="356" t="s">
        <v>81</v>
      </c>
      <c r="T126" s="357">
        <v>2.0</v>
      </c>
      <c r="U126" s="356" t="s">
        <v>49</v>
      </c>
      <c r="V126" s="358"/>
      <c r="W126" s="359">
        <v>4692.0</v>
      </c>
      <c r="X126" s="346" t="s">
        <v>51</v>
      </c>
      <c r="Y126" s="360">
        <v>4692.0</v>
      </c>
      <c r="Z126" s="361">
        <f t="shared" si="35"/>
        <v>9384</v>
      </c>
      <c r="AA126" s="362">
        <v>0.15</v>
      </c>
      <c r="AB126" s="361">
        <f t="shared" si="36"/>
        <v>7976.4</v>
      </c>
      <c r="AC126" s="363"/>
      <c r="AD126" s="363"/>
      <c r="AE126" s="363"/>
      <c r="AF126" s="363"/>
      <c r="AG126" s="364">
        <v>0.1</v>
      </c>
      <c r="AH126" s="363">
        <f t="shared" si="37"/>
        <v>797.64</v>
      </c>
    </row>
    <row r="127" ht="47.25" customHeight="1" collapsed="1">
      <c r="A127" s="56" t="str">
        <f>if(left(E127,11)="Общая сумма","Подитог","")</f>
        <v/>
      </c>
      <c r="B127" s="56"/>
      <c r="C127" s="57"/>
      <c r="D127" s="58"/>
      <c r="E127" s="58" t="s">
        <v>292</v>
      </c>
      <c r="F127" s="58"/>
      <c r="G127" s="59"/>
      <c r="H127" s="60"/>
      <c r="I127" s="60"/>
      <c r="J127" s="60"/>
      <c r="K127" s="61"/>
      <c r="L127" s="62"/>
      <c r="M127" s="63"/>
      <c r="N127" s="64"/>
      <c r="O127" s="65"/>
      <c r="P127" s="66"/>
      <c r="Q127" s="67"/>
      <c r="R127" s="67"/>
      <c r="S127" s="70"/>
      <c r="T127" s="70"/>
      <c r="U127" s="70"/>
      <c r="V127" s="70"/>
      <c r="W127" s="70"/>
      <c r="X127" s="61"/>
      <c r="Y127" s="70">
        <f>IFERROR(IF(X127="RUB",W127, IF(AND(W127="",X127=""),0,W127*INDIRECT(X127))),"Выберите валюту")</f>
        <v>0</v>
      </c>
      <c r="Z127" s="62">
        <f>SUMif($Q128:$Q133,"Основа",Z128:Z133)</f>
        <v>281200</v>
      </c>
      <c r="AA127" s="71"/>
      <c r="AB127" s="62">
        <f>SUMif($Q128:$Q133,"Основа",AB128:AB133)</f>
        <v>224960</v>
      </c>
      <c r="AC127" s="62">
        <f t="shared" ref="AC127:AF127" si="43">SUM(AC128:AC133)</f>
        <v>0</v>
      </c>
      <c r="AD127" s="417">
        <f t="shared" si="43"/>
        <v>0</v>
      </c>
      <c r="AE127" s="417">
        <f t="shared" si="43"/>
        <v>0</v>
      </c>
      <c r="AF127" s="417">
        <f t="shared" si="43"/>
        <v>0</v>
      </c>
      <c r="AG127" s="62"/>
      <c r="AH127" s="62">
        <f>SUMif($Q128:$Q133,"Основа",AH128:AH133)</f>
        <v>22496</v>
      </c>
    </row>
    <row r="128" hidden="1" outlineLevel="1">
      <c r="A128" s="13"/>
      <c r="B128" s="418" t="s">
        <v>44</v>
      </c>
      <c r="C128" s="419" t="s">
        <v>293</v>
      </c>
      <c r="D128" s="420" t="s">
        <v>293</v>
      </c>
      <c r="E128" s="2" t="s">
        <v>294</v>
      </c>
      <c r="F128" s="215" t="s">
        <v>295</v>
      </c>
      <c r="G128" s="421" t="s">
        <v>295</v>
      </c>
      <c r="H128" s="27"/>
      <c r="I128" s="25"/>
      <c r="J128" s="27"/>
      <c r="K128" s="27" t="s">
        <v>81</v>
      </c>
      <c r="L128" s="422" t="s">
        <v>146</v>
      </c>
      <c r="M128" s="423"/>
      <c r="N128" s="424"/>
      <c r="O128" s="425"/>
      <c r="P128" s="426"/>
      <c r="Q128" s="31" t="s">
        <v>49</v>
      </c>
      <c r="R128" s="31" t="s">
        <v>72</v>
      </c>
      <c r="S128" s="95" t="s">
        <v>81</v>
      </c>
      <c r="T128" s="95">
        <v>1.0</v>
      </c>
      <c r="U128" s="95" t="s">
        <v>49</v>
      </c>
      <c r="V128" s="95" t="s">
        <v>72</v>
      </c>
      <c r="W128" s="30"/>
      <c r="X128" s="31"/>
      <c r="Y128" s="213"/>
      <c r="Z128" s="85"/>
      <c r="AA128" s="86"/>
      <c r="AB128" s="85"/>
      <c r="AC128" s="10"/>
      <c r="AD128" s="12"/>
      <c r="AE128" s="12"/>
      <c r="AF128" s="12"/>
      <c r="AG128" s="10"/>
      <c r="AH128" s="10"/>
    </row>
    <row r="129" hidden="1" outlineLevel="1">
      <c r="A129" s="131" t="str">
        <f t="shared" ref="A129:A134" si="44">if(left(E129,11)="Общая сумма","Подитог","")</f>
        <v/>
      </c>
      <c r="B129" s="427" t="s">
        <v>52</v>
      </c>
      <c r="C129" s="428" t="s">
        <v>296</v>
      </c>
      <c r="D129" s="429" t="s">
        <v>296</v>
      </c>
      <c r="E129" s="134" t="s">
        <v>297</v>
      </c>
      <c r="F129" s="349" t="s">
        <v>295</v>
      </c>
      <c r="G129" s="430" t="s">
        <v>295</v>
      </c>
      <c r="H129" s="133"/>
      <c r="I129" s="431"/>
      <c r="J129" s="133"/>
      <c r="K129" s="133" t="s">
        <v>81</v>
      </c>
      <c r="L129" s="432" t="s">
        <v>146</v>
      </c>
      <c r="M129" s="433"/>
      <c r="N129" s="434"/>
      <c r="O129" s="433"/>
      <c r="P129" s="435"/>
      <c r="Q129" s="149" t="s">
        <v>49</v>
      </c>
      <c r="R129" s="149" t="s">
        <v>72</v>
      </c>
      <c r="S129" s="146" t="s">
        <v>81</v>
      </c>
      <c r="T129" s="146">
        <v>1.0</v>
      </c>
      <c r="U129" s="146" t="s">
        <v>49</v>
      </c>
      <c r="V129" s="146" t="s">
        <v>72</v>
      </c>
      <c r="W129" s="148">
        <v>55600.0</v>
      </c>
      <c r="X129" s="149" t="s">
        <v>51</v>
      </c>
      <c r="Y129" s="436">
        <f t="shared" ref="Y129:Y144" si="45">IFERROR(IF(X129="RUB",W129, IF(AND(W129="",X129=""),0,W129*INDIRECT(X129))),"Выберите валюту")</f>
        <v>55600</v>
      </c>
      <c r="Z129" s="151">
        <f t="shared" ref="Z129:Z133" si="46">Y129*L129</f>
        <v>55600</v>
      </c>
      <c r="AA129" s="152">
        <v>0.2</v>
      </c>
      <c r="AB129" s="151">
        <f t="shared" ref="AB129:AB133" si="47">Z129-Z129*AA129</f>
        <v>44480</v>
      </c>
      <c r="AC129" s="155"/>
      <c r="AD129" s="153"/>
      <c r="AE129" s="153"/>
      <c r="AF129" s="153"/>
      <c r="AG129" s="154">
        <v>0.1</v>
      </c>
      <c r="AH129" s="155">
        <f t="shared" ref="AH129:AH133" si="48">AB129*0.1</f>
        <v>4448</v>
      </c>
    </row>
    <row r="130" hidden="1" outlineLevel="1">
      <c r="A130" s="131" t="str">
        <f t="shared" si="44"/>
        <v/>
      </c>
      <c r="B130" s="427" t="s">
        <v>89</v>
      </c>
      <c r="C130" s="428" t="s">
        <v>298</v>
      </c>
      <c r="D130" s="429" t="s">
        <v>298</v>
      </c>
      <c r="E130" s="134" t="s">
        <v>299</v>
      </c>
      <c r="F130" s="349" t="s">
        <v>295</v>
      </c>
      <c r="G130" s="430" t="s">
        <v>295</v>
      </c>
      <c r="H130" s="133"/>
      <c r="I130" s="431"/>
      <c r="J130" s="133"/>
      <c r="K130" s="133" t="s">
        <v>81</v>
      </c>
      <c r="L130" s="432" t="s">
        <v>146</v>
      </c>
      <c r="M130" s="433"/>
      <c r="N130" s="434"/>
      <c r="O130" s="433"/>
      <c r="P130" s="435"/>
      <c r="Q130" s="149" t="s">
        <v>49</v>
      </c>
      <c r="R130" s="149" t="s">
        <v>72</v>
      </c>
      <c r="S130" s="146" t="s">
        <v>81</v>
      </c>
      <c r="T130" s="146">
        <v>1.0</v>
      </c>
      <c r="U130" s="146" t="s">
        <v>49</v>
      </c>
      <c r="V130" s="146" t="s">
        <v>72</v>
      </c>
      <c r="W130" s="148">
        <v>60600.0</v>
      </c>
      <c r="X130" s="149" t="s">
        <v>51</v>
      </c>
      <c r="Y130" s="436">
        <f t="shared" si="45"/>
        <v>60600</v>
      </c>
      <c r="Z130" s="151">
        <f t="shared" si="46"/>
        <v>60600</v>
      </c>
      <c r="AA130" s="152">
        <v>0.2</v>
      </c>
      <c r="AB130" s="151">
        <f t="shared" si="47"/>
        <v>48480</v>
      </c>
      <c r="AC130" s="155"/>
      <c r="AD130" s="153"/>
      <c r="AE130" s="153"/>
      <c r="AF130" s="153"/>
      <c r="AG130" s="154">
        <v>0.1</v>
      </c>
      <c r="AH130" s="155">
        <f t="shared" si="48"/>
        <v>4848</v>
      </c>
    </row>
    <row r="131" ht="68.25" hidden="1" customHeight="1" outlineLevel="1">
      <c r="A131" s="131" t="str">
        <f t="shared" si="44"/>
        <v/>
      </c>
      <c r="B131" s="427" t="s">
        <v>82</v>
      </c>
      <c r="C131" s="428" t="s">
        <v>300</v>
      </c>
      <c r="D131" s="429" t="s">
        <v>301</v>
      </c>
      <c r="E131" s="134" t="s">
        <v>302</v>
      </c>
      <c r="F131" s="349" t="s">
        <v>295</v>
      </c>
      <c r="G131" s="430" t="s">
        <v>295</v>
      </c>
      <c r="H131" s="133"/>
      <c r="I131" s="431"/>
      <c r="J131" s="133"/>
      <c r="K131" s="133" t="s">
        <v>81</v>
      </c>
      <c r="L131" s="432" t="s">
        <v>146</v>
      </c>
      <c r="M131" s="433"/>
      <c r="N131" s="434"/>
      <c r="O131" s="433"/>
      <c r="P131" s="435"/>
      <c r="Q131" s="149" t="s">
        <v>49</v>
      </c>
      <c r="R131" s="149" t="s">
        <v>72</v>
      </c>
      <c r="S131" s="146" t="s">
        <v>81</v>
      </c>
      <c r="T131" s="146">
        <v>1.0</v>
      </c>
      <c r="U131" s="146" t="s">
        <v>49</v>
      </c>
      <c r="V131" s="146" t="s">
        <v>72</v>
      </c>
      <c r="W131" s="148">
        <v>55600.0</v>
      </c>
      <c r="X131" s="149" t="s">
        <v>51</v>
      </c>
      <c r="Y131" s="436">
        <f t="shared" si="45"/>
        <v>55600</v>
      </c>
      <c r="Z131" s="151">
        <f t="shared" si="46"/>
        <v>55600</v>
      </c>
      <c r="AA131" s="152">
        <v>0.2</v>
      </c>
      <c r="AB131" s="151">
        <f t="shared" si="47"/>
        <v>44480</v>
      </c>
      <c r="AC131" s="155"/>
      <c r="AD131" s="153"/>
      <c r="AE131" s="153"/>
      <c r="AF131" s="153"/>
      <c r="AG131" s="154">
        <v>0.1</v>
      </c>
      <c r="AH131" s="155">
        <f t="shared" si="48"/>
        <v>4448</v>
      </c>
    </row>
    <row r="132" hidden="1" outlineLevel="1">
      <c r="A132" s="131" t="str">
        <f t="shared" si="44"/>
        <v/>
      </c>
      <c r="B132" s="427" t="s">
        <v>56</v>
      </c>
      <c r="C132" s="428" t="s">
        <v>301</v>
      </c>
      <c r="D132" s="429" t="s">
        <v>300</v>
      </c>
      <c r="E132" s="134" t="s">
        <v>303</v>
      </c>
      <c r="F132" s="349" t="s">
        <v>295</v>
      </c>
      <c r="G132" s="430" t="s">
        <v>295</v>
      </c>
      <c r="H132" s="133"/>
      <c r="I132" s="431"/>
      <c r="J132" s="133"/>
      <c r="K132" s="133" t="s">
        <v>81</v>
      </c>
      <c r="L132" s="432" t="s">
        <v>146</v>
      </c>
      <c r="M132" s="433"/>
      <c r="N132" s="434"/>
      <c r="O132" s="433"/>
      <c r="P132" s="435"/>
      <c r="Q132" s="149" t="s">
        <v>49</v>
      </c>
      <c r="R132" s="149" t="s">
        <v>72</v>
      </c>
      <c r="S132" s="146" t="s">
        <v>81</v>
      </c>
      <c r="T132" s="146">
        <v>1.0</v>
      </c>
      <c r="U132" s="146" t="s">
        <v>49</v>
      </c>
      <c r="V132" s="146" t="s">
        <v>72</v>
      </c>
      <c r="W132" s="148">
        <v>53800.0</v>
      </c>
      <c r="X132" s="149" t="s">
        <v>51</v>
      </c>
      <c r="Y132" s="436">
        <f t="shared" si="45"/>
        <v>53800</v>
      </c>
      <c r="Z132" s="151">
        <f t="shared" si="46"/>
        <v>53800</v>
      </c>
      <c r="AA132" s="152">
        <v>0.2</v>
      </c>
      <c r="AB132" s="151">
        <f t="shared" si="47"/>
        <v>43040</v>
      </c>
      <c r="AC132" s="155"/>
      <c r="AD132" s="153"/>
      <c r="AE132" s="153"/>
      <c r="AF132" s="153"/>
      <c r="AG132" s="154">
        <v>0.1</v>
      </c>
      <c r="AH132" s="155">
        <f t="shared" si="48"/>
        <v>4304</v>
      </c>
    </row>
    <row r="133" ht="66.0" hidden="1" customHeight="1" outlineLevel="1">
      <c r="A133" s="131" t="str">
        <f t="shared" si="44"/>
        <v/>
      </c>
      <c r="B133" s="427" t="s">
        <v>96</v>
      </c>
      <c r="C133" s="428" t="s">
        <v>304</v>
      </c>
      <c r="D133" s="429" t="s">
        <v>304</v>
      </c>
      <c r="E133" s="134" t="s">
        <v>302</v>
      </c>
      <c r="F133" s="349" t="s">
        <v>295</v>
      </c>
      <c r="G133" s="430" t="s">
        <v>295</v>
      </c>
      <c r="H133" s="133"/>
      <c r="I133" s="431"/>
      <c r="J133" s="133"/>
      <c r="K133" s="133" t="s">
        <v>81</v>
      </c>
      <c r="L133" s="432" t="s">
        <v>146</v>
      </c>
      <c r="M133" s="433"/>
      <c r="N133" s="434"/>
      <c r="O133" s="433"/>
      <c r="P133" s="435"/>
      <c r="Q133" s="149" t="s">
        <v>49</v>
      </c>
      <c r="R133" s="149" t="s">
        <v>72</v>
      </c>
      <c r="S133" s="146" t="s">
        <v>81</v>
      </c>
      <c r="T133" s="146">
        <v>1.0</v>
      </c>
      <c r="U133" s="146" t="s">
        <v>49</v>
      </c>
      <c r="V133" s="146" t="s">
        <v>72</v>
      </c>
      <c r="W133" s="148">
        <v>55600.0</v>
      </c>
      <c r="X133" s="149" t="s">
        <v>51</v>
      </c>
      <c r="Y133" s="436">
        <f t="shared" si="45"/>
        <v>55600</v>
      </c>
      <c r="Z133" s="151">
        <f t="shared" si="46"/>
        <v>55600</v>
      </c>
      <c r="AA133" s="152">
        <v>0.2</v>
      </c>
      <c r="AB133" s="151">
        <f t="shared" si="47"/>
        <v>44480</v>
      </c>
      <c r="AC133" s="155"/>
      <c r="AD133" s="153"/>
      <c r="AE133" s="153"/>
      <c r="AF133" s="153"/>
      <c r="AG133" s="154">
        <v>0.1</v>
      </c>
      <c r="AH133" s="155">
        <f t="shared" si="48"/>
        <v>4448</v>
      </c>
    </row>
    <row r="134" ht="47.25" customHeight="1" collapsed="1">
      <c r="A134" s="56" t="str">
        <f t="shared" si="44"/>
        <v/>
      </c>
      <c r="B134" s="56"/>
      <c r="C134" s="57"/>
      <c r="D134" s="58"/>
      <c r="E134" s="58" t="s">
        <v>305</v>
      </c>
      <c r="F134" s="58"/>
      <c r="G134" s="59"/>
      <c r="H134" s="60"/>
      <c r="I134" s="60"/>
      <c r="J134" s="60"/>
      <c r="K134" s="61"/>
      <c r="L134" s="62"/>
      <c r="M134" s="63"/>
      <c r="N134" s="64"/>
      <c r="O134" s="65"/>
      <c r="P134" s="66"/>
      <c r="Q134" s="67"/>
      <c r="R134" s="67"/>
      <c r="S134" s="70"/>
      <c r="T134" s="70"/>
      <c r="U134" s="70"/>
      <c r="V134" s="70"/>
      <c r="W134" s="70"/>
      <c r="X134" s="61"/>
      <c r="Y134" s="70">
        <f t="shared" si="45"/>
        <v>0</v>
      </c>
      <c r="Z134" s="62">
        <f>SUMIF(Q135:Q161,"Основа",Z135:Z161)</f>
        <v>527326</v>
      </c>
      <c r="AA134" s="71"/>
      <c r="AB134" s="62">
        <f>SUMIF(Q135:Q161,"Основа",AB135:AB161)</f>
        <v>464046.88</v>
      </c>
      <c r="AC134" s="62"/>
      <c r="AD134" s="417"/>
      <c r="AE134" s="417"/>
      <c r="AF134" s="417"/>
      <c r="AG134" s="62"/>
      <c r="AH134" s="62">
        <f>SUMIF(Q135:Q161,"Основа",AH135:AH161)</f>
        <v>46404.688</v>
      </c>
    </row>
    <row r="135" hidden="1" outlineLevel="1">
      <c r="A135" s="437">
        <v>41.0</v>
      </c>
      <c r="B135" s="438" t="s">
        <v>52</v>
      </c>
      <c r="C135" s="439" t="s">
        <v>306</v>
      </c>
      <c r="D135" s="440" t="s">
        <v>306</v>
      </c>
      <c r="E135" s="339" t="s">
        <v>307</v>
      </c>
      <c r="F135" s="319" t="s">
        <v>308</v>
      </c>
      <c r="G135" s="441" t="s">
        <v>308</v>
      </c>
      <c r="H135" s="442"/>
      <c r="I135" s="442"/>
      <c r="J135" s="442"/>
      <c r="K135" s="443" t="s">
        <v>81</v>
      </c>
      <c r="L135" s="443">
        <v>1.0</v>
      </c>
      <c r="M135" s="444"/>
      <c r="N135" s="445"/>
      <c r="O135" s="444"/>
      <c r="P135" s="446"/>
      <c r="Q135" s="447" t="s">
        <v>49</v>
      </c>
      <c r="R135" s="447"/>
      <c r="S135" s="448" t="s">
        <v>81</v>
      </c>
      <c r="T135" s="449">
        <v>1.0</v>
      </c>
      <c r="U135" s="448" t="s">
        <v>49</v>
      </c>
      <c r="V135" s="450"/>
      <c r="W135" s="450">
        <v>13950.0</v>
      </c>
      <c r="X135" s="326" t="s">
        <v>51</v>
      </c>
      <c r="Y135" s="451">
        <f t="shared" si="45"/>
        <v>13950</v>
      </c>
      <c r="Z135" s="333">
        <f t="shared" ref="Z135:Z161" si="49">Y135*T135</f>
        <v>13950</v>
      </c>
      <c r="AA135" s="334">
        <v>0.12</v>
      </c>
      <c r="AB135" s="333">
        <f t="shared" ref="AB135:AB161" si="50">Z135-Z135*AA135</f>
        <v>12276</v>
      </c>
      <c r="AC135" s="338"/>
      <c r="AD135" s="337"/>
      <c r="AE135" s="337"/>
      <c r="AF135" s="337"/>
      <c r="AG135" s="338"/>
      <c r="AH135" s="338">
        <f t="shared" ref="AH135:AH161" si="51">AB135*0.1</f>
        <v>1227.6</v>
      </c>
    </row>
    <row r="136" hidden="1" outlineLevel="1">
      <c r="A136" s="452" t="str">
        <f>IF(LEFT(E136,11)="Общая сумма","Подитог","")</f>
        <v/>
      </c>
      <c r="B136" s="453" t="s">
        <v>52</v>
      </c>
      <c r="C136" s="454" t="s">
        <v>309</v>
      </c>
      <c r="D136" s="455" t="s">
        <v>310</v>
      </c>
      <c r="E136" s="456" t="s">
        <v>311</v>
      </c>
      <c r="F136" s="349" t="s">
        <v>312</v>
      </c>
      <c r="G136" s="457" t="s">
        <v>312</v>
      </c>
      <c r="H136" s="458"/>
      <c r="I136" s="458"/>
      <c r="J136" s="458"/>
      <c r="K136" s="459" t="s">
        <v>81</v>
      </c>
      <c r="L136" s="459">
        <v>1.0</v>
      </c>
      <c r="M136" s="460"/>
      <c r="N136" s="461"/>
      <c r="O136" s="460"/>
      <c r="P136" s="143"/>
      <c r="Q136" s="149" t="s">
        <v>49</v>
      </c>
      <c r="R136" s="149"/>
      <c r="S136" s="462" t="s">
        <v>81</v>
      </c>
      <c r="T136" s="146">
        <v>1.0</v>
      </c>
      <c r="U136" s="462" t="s">
        <v>49</v>
      </c>
      <c r="V136" s="463"/>
      <c r="W136" s="463">
        <v>16340.0</v>
      </c>
      <c r="X136" s="463" t="s">
        <v>51</v>
      </c>
      <c r="Y136" s="436">
        <f t="shared" si="45"/>
        <v>16340</v>
      </c>
      <c r="Z136" s="151">
        <f t="shared" si="49"/>
        <v>16340</v>
      </c>
      <c r="AA136" s="152">
        <v>0.12</v>
      </c>
      <c r="AB136" s="151">
        <f t="shared" si="50"/>
        <v>14379.2</v>
      </c>
      <c r="AC136" s="155"/>
      <c r="AD136" s="153"/>
      <c r="AE136" s="153"/>
      <c r="AF136" s="153"/>
      <c r="AG136" s="154">
        <v>0.1</v>
      </c>
      <c r="AH136" s="155">
        <f t="shared" si="51"/>
        <v>1437.92</v>
      </c>
    </row>
    <row r="137" hidden="1" outlineLevel="1">
      <c r="A137" s="452"/>
      <c r="B137" s="453" t="s">
        <v>52</v>
      </c>
      <c r="C137" s="454"/>
      <c r="D137" s="464"/>
      <c r="E137" s="456" t="s">
        <v>313</v>
      </c>
      <c r="F137" s="412"/>
      <c r="G137" s="457"/>
      <c r="H137" s="465"/>
      <c r="I137" s="465"/>
      <c r="J137" s="465"/>
      <c r="K137" s="459" t="s">
        <v>81</v>
      </c>
      <c r="L137" s="459">
        <v>1.0</v>
      </c>
      <c r="M137" s="460"/>
      <c r="N137" s="461"/>
      <c r="O137" s="460"/>
      <c r="P137" s="143"/>
      <c r="Q137" s="149" t="s">
        <v>49</v>
      </c>
      <c r="R137" s="149"/>
      <c r="S137" s="462" t="s">
        <v>81</v>
      </c>
      <c r="T137" s="146">
        <v>1.0</v>
      </c>
      <c r="U137" s="462" t="s">
        <v>49</v>
      </c>
      <c r="V137" s="466"/>
      <c r="W137" s="466">
        <v>630.0</v>
      </c>
      <c r="X137" s="463" t="s">
        <v>51</v>
      </c>
      <c r="Y137" s="436">
        <f t="shared" si="45"/>
        <v>630</v>
      </c>
      <c r="Z137" s="151">
        <f t="shared" si="49"/>
        <v>630</v>
      </c>
      <c r="AA137" s="152">
        <v>0.12</v>
      </c>
      <c r="AB137" s="151">
        <f t="shared" si="50"/>
        <v>554.4</v>
      </c>
      <c r="AC137" s="155"/>
      <c r="AD137" s="153"/>
      <c r="AE137" s="153"/>
      <c r="AF137" s="153"/>
      <c r="AG137" s="154">
        <v>0.1</v>
      </c>
      <c r="AH137" s="155">
        <f t="shared" si="51"/>
        <v>55.44</v>
      </c>
    </row>
    <row r="138" hidden="1" outlineLevel="1">
      <c r="A138" s="467" t="str">
        <f>IF(LEFT(E138,11)="Общая сумма","Подитог","")</f>
        <v/>
      </c>
      <c r="B138" s="468" t="s">
        <v>52</v>
      </c>
      <c r="C138" s="26" t="s">
        <v>314</v>
      </c>
      <c r="D138" s="218" t="s">
        <v>314</v>
      </c>
      <c r="E138" s="221" t="s">
        <v>315</v>
      </c>
      <c r="F138" s="215" t="s">
        <v>312</v>
      </c>
      <c r="G138" s="222" t="s">
        <v>312</v>
      </c>
      <c r="H138" s="469"/>
      <c r="I138" s="469"/>
      <c r="J138" s="469"/>
      <c r="K138" s="226" t="s">
        <v>81</v>
      </c>
      <c r="L138" s="226">
        <v>1.0</v>
      </c>
      <c r="M138" s="227"/>
      <c r="N138" s="228"/>
      <c r="O138" s="227"/>
      <c r="P138" s="99"/>
      <c r="Q138" s="31" t="s">
        <v>49</v>
      </c>
      <c r="R138" s="31"/>
      <c r="S138" s="80" t="s">
        <v>81</v>
      </c>
      <c r="T138" s="95">
        <v>1.0</v>
      </c>
      <c r="U138" s="80" t="s">
        <v>49</v>
      </c>
      <c r="V138" s="225"/>
      <c r="W138" s="225">
        <v>30469.0</v>
      </c>
      <c r="X138" s="230" t="s">
        <v>51</v>
      </c>
      <c r="Y138" s="213">
        <f t="shared" si="45"/>
        <v>30469</v>
      </c>
      <c r="Z138" s="85">
        <f t="shared" si="49"/>
        <v>30469</v>
      </c>
      <c r="AA138" s="86">
        <v>0.12</v>
      </c>
      <c r="AB138" s="271">
        <f t="shared" si="50"/>
        <v>26812.72</v>
      </c>
      <c r="AC138" s="10"/>
      <c r="AD138" s="12"/>
      <c r="AE138" s="12"/>
      <c r="AF138" s="12"/>
      <c r="AG138" s="10"/>
      <c r="AH138" s="10">
        <f t="shared" si="51"/>
        <v>2681.272</v>
      </c>
    </row>
    <row r="139" hidden="1" outlineLevel="1">
      <c r="A139" s="467"/>
      <c r="B139" s="468" t="s">
        <v>52</v>
      </c>
      <c r="C139" s="24" t="s">
        <v>316</v>
      </c>
      <c r="D139" s="218" t="s">
        <v>316</v>
      </c>
      <c r="E139" s="221" t="s">
        <v>317</v>
      </c>
      <c r="F139" s="215" t="s">
        <v>312</v>
      </c>
      <c r="G139" s="222" t="s">
        <v>312</v>
      </c>
      <c r="H139" s="469"/>
      <c r="I139" s="469"/>
      <c r="J139" s="469"/>
      <c r="K139" s="226" t="s">
        <v>81</v>
      </c>
      <c r="L139" s="226">
        <v>1.0</v>
      </c>
      <c r="M139" s="227"/>
      <c r="N139" s="228"/>
      <c r="O139" s="227"/>
      <c r="P139" s="99"/>
      <c r="Q139" s="31" t="s">
        <v>49</v>
      </c>
      <c r="R139" s="31"/>
      <c r="S139" s="80" t="s">
        <v>81</v>
      </c>
      <c r="T139" s="95">
        <v>1.0</v>
      </c>
      <c r="U139" s="80" t="s">
        <v>49</v>
      </c>
      <c r="V139" s="225"/>
      <c r="W139" s="225">
        <v>27340.0</v>
      </c>
      <c r="X139" s="230" t="s">
        <v>51</v>
      </c>
      <c r="Y139" s="213">
        <f t="shared" si="45"/>
        <v>27340</v>
      </c>
      <c r="Z139" s="85">
        <f t="shared" si="49"/>
        <v>27340</v>
      </c>
      <c r="AA139" s="86">
        <v>0.12</v>
      </c>
      <c r="AB139" s="271">
        <f t="shared" si="50"/>
        <v>24059.2</v>
      </c>
      <c r="AC139" s="10"/>
      <c r="AD139" s="12"/>
      <c r="AE139" s="12"/>
      <c r="AF139" s="12"/>
      <c r="AG139" s="10"/>
      <c r="AH139" s="10">
        <f t="shared" si="51"/>
        <v>2405.92</v>
      </c>
    </row>
    <row r="140" hidden="1" outlineLevel="1">
      <c r="A140" s="467"/>
      <c r="B140" s="468" t="s">
        <v>52</v>
      </c>
      <c r="C140" s="24" t="s">
        <v>318</v>
      </c>
      <c r="D140" s="218" t="s">
        <v>318</v>
      </c>
      <c r="E140" s="221" t="s">
        <v>319</v>
      </c>
      <c r="F140" s="215" t="s">
        <v>312</v>
      </c>
      <c r="G140" s="222" t="s">
        <v>312</v>
      </c>
      <c r="H140" s="469"/>
      <c r="I140" s="469"/>
      <c r="J140" s="469"/>
      <c r="K140" s="226" t="s">
        <v>81</v>
      </c>
      <c r="L140" s="226">
        <v>1.0</v>
      </c>
      <c r="M140" s="227"/>
      <c r="N140" s="228"/>
      <c r="O140" s="227"/>
      <c r="P140" s="99"/>
      <c r="Q140" s="31" t="s">
        <v>49</v>
      </c>
      <c r="R140" s="31"/>
      <c r="S140" s="80" t="s">
        <v>81</v>
      </c>
      <c r="T140" s="95">
        <v>1.0</v>
      </c>
      <c r="U140" s="80" t="s">
        <v>49</v>
      </c>
      <c r="V140" s="225"/>
      <c r="W140" s="225">
        <v>58950.0</v>
      </c>
      <c r="X140" s="230" t="s">
        <v>51</v>
      </c>
      <c r="Y140" s="213">
        <f t="shared" si="45"/>
        <v>58950</v>
      </c>
      <c r="Z140" s="85">
        <f t="shared" si="49"/>
        <v>58950</v>
      </c>
      <c r="AA140" s="86">
        <v>0.12</v>
      </c>
      <c r="AB140" s="271">
        <f t="shared" si="50"/>
        <v>51876</v>
      </c>
      <c r="AC140" s="10"/>
      <c r="AD140" s="12"/>
      <c r="AE140" s="12"/>
      <c r="AF140" s="12"/>
      <c r="AG140" s="10"/>
      <c r="AH140" s="10">
        <f t="shared" si="51"/>
        <v>5187.6</v>
      </c>
    </row>
    <row r="141" hidden="1" outlineLevel="1">
      <c r="A141" s="452"/>
      <c r="B141" s="453" t="s">
        <v>52</v>
      </c>
      <c r="C141" s="454" t="s">
        <v>320</v>
      </c>
      <c r="D141" s="455" t="s">
        <v>320</v>
      </c>
      <c r="E141" s="453" t="s">
        <v>321</v>
      </c>
      <c r="F141" s="349" t="s">
        <v>312</v>
      </c>
      <c r="G141" s="457" t="s">
        <v>312</v>
      </c>
      <c r="H141" s="465"/>
      <c r="I141" s="465"/>
      <c r="J141" s="465"/>
      <c r="K141" s="459" t="s">
        <v>81</v>
      </c>
      <c r="L141" s="459">
        <v>1.0</v>
      </c>
      <c r="M141" s="460"/>
      <c r="N141" s="461"/>
      <c r="O141" s="460"/>
      <c r="P141" s="143"/>
      <c r="Q141" s="149" t="s">
        <v>49</v>
      </c>
      <c r="R141" s="149"/>
      <c r="S141" s="462" t="s">
        <v>81</v>
      </c>
      <c r="T141" s="146">
        <v>1.0</v>
      </c>
      <c r="U141" s="462" t="s">
        <v>49</v>
      </c>
      <c r="V141" s="466"/>
      <c r="W141" s="466">
        <v>14690.0</v>
      </c>
      <c r="X141" s="463" t="s">
        <v>51</v>
      </c>
      <c r="Y141" s="436">
        <f t="shared" si="45"/>
        <v>14690</v>
      </c>
      <c r="Z141" s="151">
        <f t="shared" si="49"/>
        <v>14690</v>
      </c>
      <c r="AA141" s="152">
        <v>0.12</v>
      </c>
      <c r="AB141" s="151">
        <f t="shared" si="50"/>
        <v>12927.2</v>
      </c>
      <c r="AC141" s="155"/>
      <c r="AD141" s="153"/>
      <c r="AE141" s="153"/>
      <c r="AF141" s="153"/>
      <c r="AG141" s="154">
        <v>0.1</v>
      </c>
      <c r="AH141" s="155">
        <f t="shared" si="51"/>
        <v>1292.72</v>
      </c>
    </row>
    <row r="142" hidden="1" outlineLevel="1">
      <c r="A142" s="467"/>
      <c r="B142" s="468" t="s">
        <v>52</v>
      </c>
      <c r="C142" s="24" t="s">
        <v>322</v>
      </c>
      <c r="D142" s="470" t="s">
        <v>322</v>
      </c>
      <c r="E142" s="221" t="s">
        <v>323</v>
      </c>
      <c r="F142" s="260" t="s">
        <v>324</v>
      </c>
      <c r="G142" s="222" t="s">
        <v>324</v>
      </c>
      <c r="H142" s="469"/>
      <c r="I142" s="469"/>
      <c r="J142" s="469"/>
      <c r="K142" s="226" t="s">
        <v>81</v>
      </c>
      <c r="L142" s="226">
        <v>1.0</v>
      </c>
      <c r="M142" s="227"/>
      <c r="N142" s="228"/>
      <c r="O142" s="229"/>
      <c r="P142" s="66"/>
      <c r="Q142" s="31" t="s">
        <v>49</v>
      </c>
      <c r="R142" s="31"/>
      <c r="S142" s="80" t="s">
        <v>81</v>
      </c>
      <c r="T142" s="95">
        <v>1.0</v>
      </c>
      <c r="U142" s="80" t="s">
        <v>49</v>
      </c>
      <c r="V142" s="225"/>
      <c r="W142" s="225">
        <v>35771.0</v>
      </c>
      <c r="X142" s="230" t="s">
        <v>51</v>
      </c>
      <c r="Y142" s="213">
        <f t="shared" si="45"/>
        <v>35771</v>
      </c>
      <c r="Z142" s="85">
        <f t="shared" si="49"/>
        <v>35771</v>
      </c>
      <c r="AA142" s="86">
        <v>0.12</v>
      </c>
      <c r="AB142" s="271">
        <f t="shared" si="50"/>
        <v>31478.48</v>
      </c>
      <c r="AC142" s="10"/>
      <c r="AD142" s="12"/>
      <c r="AE142" s="12"/>
      <c r="AF142" s="12"/>
      <c r="AG142" s="10"/>
      <c r="AH142" s="10">
        <f t="shared" si="51"/>
        <v>3147.848</v>
      </c>
    </row>
    <row r="143" hidden="1" outlineLevel="1">
      <c r="A143" s="467"/>
      <c r="B143" s="468" t="s">
        <v>52</v>
      </c>
      <c r="C143" s="24" t="s">
        <v>322</v>
      </c>
      <c r="D143" s="470" t="s">
        <v>322</v>
      </c>
      <c r="E143" s="221" t="s">
        <v>325</v>
      </c>
      <c r="F143" s="260" t="s">
        <v>324</v>
      </c>
      <c r="G143" s="222" t="s">
        <v>324</v>
      </c>
      <c r="H143" s="469"/>
      <c r="I143" s="469"/>
      <c r="J143" s="469"/>
      <c r="K143" s="226" t="s">
        <v>81</v>
      </c>
      <c r="L143" s="226">
        <v>1.0</v>
      </c>
      <c r="M143" s="227"/>
      <c r="N143" s="228"/>
      <c r="O143" s="229"/>
      <c r="P143" s="66"/>
      <c r="Q143" s="31" t="s">
        <v>49</v>
      </c>
      <c r="R143" s="31"/>
      <c r="S143" s="80" t="s">
        <v>81</v>
      </c>
      <c r="T143" s="95">
        <v>1.0</v>
      </c>
      <c r="U143" s="80" t="s">
        <v>49</v>
      </c>
      <c r="V143" s="225"/>
      <c r="W143" s="225">
        <v>900.0</v>
      </c>
      <c r="X143" s="230" t="s">
        <v>51</v>
      </c>
      <c r="Y143" s="213">
        <f t="shared" si="45"/>
        <v>900</v>
      </c>
      <c r="Z143" s="85">
        <f t="shared" si="49"/>
        <v>900</v>
      </c>
      <c r="AA143" s="86">
        <v>0.12</v>
      </c>
      <c r="AB143" s="271">
        <f t="shared" si="50"/>
        <v>792</v>
      </c>
      <c r="AC143" s="10"/>
      <c r="AD143" s="12"/>
      <c r="AE143" s="12"/>
      <c r="AF143" s="12"/>
      <c r="AG143" s="10"/>
      <c r="AH143" s="10">
        <f t="shared" si="51"/>
        <v>79.2</v>
      </c>
    </row>
    <row r="144" hidden="1" outlineLevel="1">
      <c r="A144" s="467"/>
      <c r="B144" s="468" t="s">
        <v>52</v>
      </c>
      <c r="C144" s="24" t="s">
        <v>322</v>
      </c>
      <c r="D144" s="470" t="s">
        <v>322</v>
      </c>
      <c r="E144" s="221" t="s">
        <v>326</v>
      </c>
      <c r="F144" s="260" t="s">
        <v>324</v>
      </c>
      <c r="G144" s="222" t="s">
        <v>324</v>
      </c>
      <c r="H144" s="469"/>
      <c r="I144" s="469"/>
      <c r="J144" s="469"/>
      <c r="K144" s="226" t="s">
        <v>81</v>
      </c>
      <c r="L144" s="226">
        <v>1.0</v>
      </c>
      <c r="M144" s="227"/>
      <c r="N144" s="228"/>
      <c r="O144" s="229"/>
      <c r="P144" s="66"/>
      <c r="Q144" s="31" t="s">
        <v>49</v>
      </c>
      <c r="R144" s="31"/>
      <c r="S144" s="80" t="s">
        <v>81</v>
      </c>
      <c r="T144" s="95">
        <v>1.0</v>
      </c>
      <c r="U144" s="80" t="s">
        <v>49</v>
      </c>
      <c r="V144" s="225"/>
      <c r="W144" s="225">
        <v>5670.0</v>
      </c>
      <c r="X144" s="230" t="s">
        <v>51</v>
      </c>
      <c r="Y144" s="213">
        <f t="shared" si="45"/>
        <v>5670</v>
      </c>
      <c r="Z144" s="85">
        <f t="shared" si="49"/>
        <v>5670</v>
      </c>
      <c r="AA144" s="86">
        <v>0.12</v>
      </c>
      <c r="AB144" s="271">
        <f t="shared" si="50"/>
        <v>4989.6</v>
      </c>
      <c r="AC144" s="10"/>
      <c r="AD144" s="12"/>
      <c r="AE144" s="12"/>
      <c r="AF144" s="12"/>
      <c r="AG144" s="10"/>
      <c r="AH144" s="10">
        <f t="shared" si="51"/>
        <v>498.96</v>
      </c>
    </row>
    <row r="145" ht="29.25" hidden="1" customHeight="1" outlineLevel="1">
      <c r="A145" s="452"/>
      <c r="B145" s="453" t="s">
        <v>52</v>
      </c>
      <c r="C145" s="133" t="s">
        <v>327</v>
      </c>
      <c r="D145" s="455" t="s">
        <v>327</v>
      </c>
      <c r="E145" s="134" t="s">
        <v>328</v>
      </c>
      <c r="F145" s="349" t="s">
        <v>312</v>
      </c>
      <c r="G145" s="135" t="s">
        <v>312</v>
      </c>
      <c r="H145" s="465"/>
      <c r="I145" s="465"/>
      <c r="J145" s="465"/>
      <c r="K145" s="432" t="s">
        <v>81</v>
      </c>
      <c r="L145" s="432" t="s">
        <v>146</v>
      </c>
      <c r="M145" s="460"/>
      <c r="N145" s="461"/>
      <c r="O145" s="460"/>
      <c r="P145" s="143"/>
      <c r="Q145" s="149" t="s">
        <v>49</v>
      </c>
      <c r="R145" s="149"/>
      <c r="S145" s="462" t="s">
        <v>81</v>
      </c>
      <c r="T145" s="146">
        <v>1.0</v>
      </c>
      <c r="U145" s="462" t="s">
        <v>49</v>
      </c>
      <c r="V145" s="463"/>
      <c r="W145" s="463">
        <v>16130.0</v>
      </c>
      <c r="X145" s="463" t="s">
        <v>51</v>
      </c>
      <c r="Y145" s="148">
        <v>16130.0</v>
      </c>
      <c r="Z145" s="151">
        <f t="shared" si="49"/>
        <v>16130</v>
      </c>
      <c r="AA145" s="152">
        <v>0.12</v>
      </c>
      <c r="AB145" s="151">
        <f t="shared" si="50"/>
        <v>14194.4</v>
      </c>
      <c r="AC145" s="155"/>
      <c r="AD145" s="153"/>
      <c r="AE145" s="153"/>
      <c r="AF145" s="153"/>
      <c r="AG145" s="154">
        <v>0.1</v>
      </c>
      <c r="AH145" s="155">
        <f t="shared" si="51"/>
        <v>1419.44</v>
      </c>
    </row>
    <row r="146" ht="29.25" hidden="1" customHeight="1" outlineLevel="1">
      <c r="A146" s="452"/>
      <c r="B146" s="453" t="s">
        <v>52</v>
      </c>
      <c r="C146" s="133"/>
      <c r="D146" s="464"/>
      <c r="E146" s="134" t="s">
        <v>329</v>
      </c>
      <c r="F146" s="349" t="s">
        <v>312</v>
      </c>
      <c r="G146" s="135" t="s">
        <v>312</v>
      </c>
      <c r="H146" s="465"/>
      <c r="I146" s="465"/>
      <c r="J146" s="465"/>
      <c r="K146" s="432" t="s">
        <v>81</v>
      </c>
      <c r="L146" s="432" t="s">
        <v>218</v>
      </c>
      <c r="M146" s="460"/>
      <c r="N146" s="461"/>
      <c r="O146" s="460"/>
      <c r="P146" s="143"/>
      <c r="Q146" s="149" t="s">
        <v>49</v>
      </c>
      <c r="R146" s="149"/>
      <c r="S146" s="462" t="s">
        <v>81</v>
      </c>
      <c r="T146" s="146">
        <v>2.0</v>
      </c>
      <c r="U146" s="462" t="s">
        <v>49</v>
      </c>
      <c r="V146" s="463"/>
      <c r="W146" s="463" t="s">
        <v>330</v>
      </c>
      <c r="X146" s="463" t="s">
        <v>51</v>
      </c>
      <c r="Y146" s="148">
        <v>24410.0</v>
      </c>
      <c r="Z146" s="151">
        <f t="shared" si="49"/>
        <v>48820</v>
      </c>
      <c r="AA146" s="152">
        <v>0.12</v>
      </c>
      <c r="AB146" s="151">
        <f t="shared" si="50"/>
        <v>42961.6</v>
      </c>
      <c r="AC146" s="155"/>
      <c r="AD146" s="153"/>
      <c r="AE146" s="153"/>
      <c r="AF146" s="153"/>
      <c r="AG146" s="154">
        <v>0.1</v>
      </c>
      <c r="AH146" s="155">
        <f t="shared" si="51"/>
        <v>4296.16</v>
      </c>
    </row>
    <row r="147" hidden="1" outlineLevel="1">
      <c r="A147" s="471"/>
      <c r="B147" s="438" t="s">
        <v>56</v>
      </c>
      <c r="C147" s="439" t="s">
        <v>331</v>
      </c>
      <c r="D147" s="440" t="s">
        <v>331</v>
      </c>
      <c r="E147" s="339" t="s">
        <v>307</v>
      </c>
      <c r="F147" s="319" t="s">
        <v>312</v>
      </c>
      <c r="G147" s="441" t="s">
        <v>312</v>
      </c>
      <c r="H147" s="442"/>
      <c r="I147" s="442"/>
      <c r="J147" s="442"/>
      <c r="K147" s="443" t="s">
        <v>81</v>
      </c>
      <c r="L147" s="443">
        <v>1.0</v>
      </c>
      <c r="M147" s="444"/>
      <c r="N147" s="445"/>
      <c r="O147" s="444"/>
      <c r="P147" s="446"/>
      <c r="Q147" s="447" t="s">
        <v>49</v>
      </c>
      <c r="R147" s="447"/>
      <c r="S147" s="448" t="s">
        <v>81</v>
      </c>
      <c r="T147" s="449">
        <v>1.0</v>
      </c>
      <c r="U147" s="448" t="s">
        <v>49</v>
      </c>
      <c r="V147" s="450"/>
      <c r="W147" s="450">
        <v>35110.0</v>
      </c>
      <c r="X147" s="326" t="s">
        <v>51</v>
      </c>
      <c r="Y147" s="451">
        <f t="shared" ref="Y147:Y212" si="52">IFERROR(IF(X147="RUB",W147, IF(AND(W147="",X147=""),0,W147*INDIRECT(X147))),"Выберите валюту")</f>
        <v>35110</v>
      </c>
      <c r="Z147" s="333">
        <f t="shared" si="49"/>
        <v>35110</v>
      </c>
      <c r="AA147" s="334">
        <v>0.12</v>
      </c>
      <c r="AB147" s="333">
        <f t="shared" si="50"/>
        <v>30896.8</v>
      </c>
      <c r="AC147" s="338"/>
      <c r="AD147" s="337"/>
      <c r="AE147" s="337"/>
      <c r="AF147" s="337"/>
      <c r="AG147" s="338"/>
      <c r="AH147" s="338">
        <f t="shared" si="51"/>
        <v>3089.68</v>
      </c>
    </row>
    <row r="148" hidden="1" outlineLevel="1">
      <c r="A148" s="467"/>
      <c r="B148" s="468" t="s">
        <v>56</v>
      </c>
      <c r="C148" s="24" t="s">
        <v>331</v>
      </c>
      <c r="D148" s="218" t="s">
        <v>331</v>
      </c>
      <c r="E148" s="221" t="s">
        <v>332</v>
      </c>
      <c r="F148" s="215" t="s">
        <v>308</v>
      </c>
      <c r="G148" s="222" t="s">
        <v>308</v>
      </c>
      <c r="H148" s="469"/>
      <c r="I148" s="469"/>
      <c r="J148" s="469"/>
      <c r="K148" s="226" t="s">
        <v>81</v>
      </c>
      <c r="L148" s="226">
        <v>1.0</v>
      </c>
      <c r="M148" s="227"/>
      <c r="N148" s="228"/>
      <c r="O148" s="227"/>
      <c r="P148" s="99"/>
      <c r="Q148" s="31" t="s">
        <v>49</v>
      </c>
      <c r="R148" s="31"/>
      <c r="S148" s="80" t="s">
        <v>81</v>
      </c>
      <c r="T148" s="95">
        <v>1.0</v>
      </c>
      <c r="U148" s="80" t="s">
        <v>49</v>
      </c>
      <c r="V148" s="225"/>
      <c r="W148" s="225">
        <v>17400.0</v>
      </c>
      <c r="X148" s="230" t="s">
        <v>51</v>
      </c>
      <c r="Y148" s="213">
        <f t="shared" si="52"/>
        <v>17400</v>
      </c>
      <c r="Z148" s="85">
        <f t="shared" si="49"/>
        <v>17400</v>
      </c>
      <c r="AA148" s="86">
        <v>0.12</v>
      </c>
      <c r="AB148" s="271">
        <f t="shared" si="50"/>
        <v>15312</v>
      </c>
      <c r="AC148" s="10"/>
      <c r="AD148" s="12"/>
      <c r="AE148" s="12"/>
      <c r="AF148" s="12"/>
      <c r="AG148" s="10"/>
      <c r="AH148" s="10">
        <f t="shared" si="51"/>
        <v>1531.2</v>
      </c>
    </row>
    <row r="149" hidden="1" outlineLevel="1">
      <c r="A149" s="452"/>
      <c r="B149" s="453" t="s">
        <v>56</v>
      </c>
      <c r="C149" s="454" t="s">
        <v>333</v>
      </c>
      <c r="D149" s="455" t="s">
        <v>333</v>
      </c>
      <c r="E149" s="456" t="s">
        <v>311</v>
      </c>
      <c r="F149" s="349" t="s">
        <v>312</v>
      </c>
      <c r="G149" s="457" t="s">
        <v>312</v>
      </c>
      <c r="H149" s="465"/>
      <c r="I149" s="465"/>
      <c r="J149" s="465"/>
      <c r="K149" s="459" t="s">
        <v>81</v>
      </c>
      <c r="L149" s="459">
        <v>1.0</v>
      </c>
      <c r="M149" s="460"/>
      <c r="N149" s="461"/>
      <c r="O149" s="460"/>
      <c r="P149" s="143"/>
      <c r="Q149" s="149" t="s">
        <v>49</v>
      </c>
      <c r="R149" s="149"/>
      <c r="S149" s="462" t="s">
        <v>81</v>
      </c>
      <c r="T149" s="146">
        <v>1.0</v>
      </c>
      <c r="U149" s="462" t="s">
        <v>49</v>
      </c>
      <c r="V149" s="466"/>
      <c r="W149" s="466">
        <v>16340.0</v>
      </c>
      <c r="X149" s="463" t="s">
        <v>51</v>
      </c>
      <c r="Y149" s="436">
        <f t="shared" si="52"/>
        <v>16340</v>
      </c>
      <c r="Z149" s="151">
        <f t="shared" si="49"/>
        <v>16340</v>
      </c>
      <c r="AA149" s="152">
        <v>0.12</v>
      </c>
      <c r="AB149" s="151">
        <f t="shared" si="50"/>
        <v>14379.2</v>
      </c>
      <c r="AC149" s="155"/>
      <c r="AD149" s="153"/>
      <c r="AE149" s="153"/>
      <c r="AF149" s="153"/>
      <c r="AG149" s="154">
        <v>0.1</v>
      </c>
      <c r="AH149" s="155">
        <f t="shared" si="51"/>
        <v>1437.92</v>
      </c>
    </row>
    <row r="150" hidden="1" outlineLevel="1">
      <c r="A150" s="452"/>
      <c r="B150" s="453" t="s">
        <v>56</v>
      </c>
      <c r="C150" s="454" t="s">
        <v>333</v>
      </c>
      <c r="D150" s="455" t="s">
        <v>333</v>
      </c>
      <c r="E150" s="456" t="s">
        <v>313</v>
      </c>
      <c r="F150" s="412"/>
      <c r="G150" s="457"/>
      <c r="H150" s="465"/>
      <c r="I150" s="465"/>
      <c r="J150" s="465"/>
      <c r="K150" s="459" t="s">
        <v>81</v>
      </c>
      <c r="L150" s="459">
        <v>1.0</v>
      </c>
      <c r="M150" s="460"/>
      <c r="N150" s="461"/>
      <c r="O150" s="460"/>
      <c r="P150" s="143"/>
      <c r="Q150" s="149" t="s">
        <v>49</v>
      </c>
      <c r="R150" s="149"/>
      <c r="S150" s="462" t="s">
        <v>81</v>
      </c>
      <c r="T150" s="146">
        <v>1.0</v>
      </c>
      <c r="U150" s="462" t="s">
        <v>49</v>
      </c>
      <c r="V150" s="466"/>
      <c r="W150" s="466">
        <v>630.0</v>
      </c>
      <c r="X150" s="463" t="s">
        <v>51</v>
      </c>
      <c r="Y150" s="436">
        <f t="shared" si="52"/>
        <v>630</v>
      </c>
      <c r="Z150" s="151">
        <f t="shared" si="49"/>
        <v>630</v>
      </c>
      <c r="AA150" s="152">
        <v>0.12</v>
      </c>
      <c r="AB150" s="151">
        <f t="shared" si="50"/>
        <v>554.4</v>
      </c>
      <c r="AC150" s="155"/>
      <c r="AD150" s="153"/>
      <c r="AE150" s="153"/>
      <c r="AF150" s="153"/>
      <c r="AG150" s="154">
        <v>0.1</v>
      </c>
      <c r="AH150" s="155">
        <f t="shared" si="51"/>
        <v>55.44</v>
      </c>
    </row>
    <row r="151" hidden="1" outlineLevel="1">
      <c r="A151" s="467"/>
      <c r="B151" s="468" t="s">
        <v>56</v>
      </c>
      <c r="C151" s="24" t="s">
        <v>334</v>
      </c>
      <c r="D151" s="470" t="s">
        <v>334</v>
      </c>
      <c r="E151" s="221" t="s">
        <v>335</v>
      </c>
      <c r="F151" s="260" t="s">
        <v>312</v>
      </c>
      <c r="G151" s="222" t="s">
        <v>312</v>
      </c>
      <c r="H151" s="469"/>
      <c r="I151" s="469"/>
      <c r="J151" s="469"/>
      <c r="K151" s="226" t="s">
        <v>81</v>
      </c>
      <c r="L151" s="226">
        <v>1.0</v>
      </c>
      <c r="M151" s="227"/>
      <c r="N151" s="228"/>
      <c r="O151" s="229"/>
      <c r="P151" s="66"/>
      <c r="Q151" s="31" t="s">
        <v>49</v>
      </c>
      <c r="R151" s="31"/>
      <c r="S151" s="80" t="s">
        <v>81</v>
      </c>
      <c r="T151" s="95">
        <v>1.0</v>
      </c>
      <c r="U151" s="80" t="s">
        <v>49</v>
      </c>
      <c r="V151" s="225"/>
      <c r="W151" s="225">
        <v>5850.0</v>
      </c>
      <c r="X151" s="230" t="s">
        <v>51</v>
      </c>
      <c r="Y151" s="213">
        <f t="shared" si="52"/>
        <v>5850</v>
      </c>
      <c r="Z151" s="85">
        <f t="shared" si="49"/>
        <v>5850</v>
      </c>
      <c r="AA151" s="86">
        <v>0.12</v>
      </c>
      <c r="AB151" s="271">
        <f t="shared" si="50"/>
        <v>5148</v>
      </c>
      <c r="AC151" s="10"/>
      <c r="AD151" s="12"/>
      <c r="AE151" s="12"/>
      <c r="AF151" s="12"/>
      <c r="AG151" s="10"/>
      <c r="AH151" s="10">
        <f t="shared" si="51"/>
        <v>514.8</v>
      </c>
    </row>
    <row r="152" hidden="1" outlineLevel="1">
      <c r="A152" s="467"/>
      <c r="B152" s="468" t="s">
        <v>56</v>
      </c>
      <c r="C152" s="24" t="s">
        <v>336</v>
      </c>
      <c r="D152" s="470" t="s">
        <v>336</v>
      </c>
      <c r="E152" s="221" t="s">
        <v>337</v>
      </c>
      <c r="F152" s="472" t="s">
        <v>312</v>
      </c>
      <c r="G152" s="473" t="s">
        <v>312</v>
      </c>
      <c r="H152" s="474"/>
      <c r="I152" s="474"/>
      <c r="J152" s="474"/>
      <c r="K152" s="226" t="s">
        <v>81</v>
      </c>
      <c r="L152" s="226">
        <v>2.0</v>
      </c>
      <c r="M152" s="227"/>
      <c r="N152" s="228"/>
      <c r="O152" s="229"/>
      <c r="P152" s="66"/>
      <c r="Q152" s="31" t="s">
        <v>49</v>
      </c>
      <c r="R152" s="31"/>
      <c r="S152" s="80" t="s">
        <v>81</v>
      </c>
      <c r="T152" s="95">
        <v>2.0</v>
      </c>
      <c r="U152" s="80" t="s">
        <v>49</v>
      </c>
      <c r="V152" s="82"/>
      <c r="W152" s="82">
        <v>5881.0</v>
      </c>
      <c r="X152" s="230" t="s">
        <v>51</v>
      </c>
      <c r="Y152" s="213">
        <f t="shared" si="52"/>
        <v>5881</v>
      </c>
      <c r="Z152" s="85">
        <f t="shared" si="49"/>
        <v>11762</v>
      </c>
      <c r="AA152" s="86">
        <v>0.12</v>
      </c>
      <c r="AB152" s="271">
        <f t="shared" si="50"/>
        <v>10350.56</v>
      </c>
      <c r="AC152" s="10"/>
      <c r="AD152" s="12"/>
      <c r="AE152" s="12"/>
      <c r="AF152" s="12"/>
      <c r="AG152" s="10"/>
      <c r="AH152" s="10">
        <f t="shared" si="51"/>
        <v>1035.056</v>
      </c>
    </row>
    <row r="153" hidden="1" outlineLevel="1">
      <c r="A153" s="467"/>
      <c r="B153" s="468" t="s">
        <v>56</v>
      </c>
      <c r="C153" s="24" t="s">
        <v>338</v>
      </c>
      <c r="D153" s="470" t="s">
        <v>338</v>
      </c>
      <c r="E153" s="221" t="s">
        <v>339</v>
      </c>
      <c r="F153" s="260" t="s">
        <v>312</v>
      </c>
      <c r="G153" s="222" t="s">
        <v>312</v>
      </c>
      <c r="H153" s="469"/>
      <c r="I153" s="469"/>
      <c r="J153" s="469"/>
      <c r="K153" s="226" t="s">
        <v>81</v>
      </c>
      <c r="L153" s="226">
        <v>2.0</v>
      </c>
      <c r="M153" s="227"/>
      <c r="N153" s="228"/>
      <c r="O153" s="229"/>
      <c r="P153" s="66"/>
      <c r="Q153" s="31" t="s">
        <v>49</v>
      </c>
      <c r="R153" s="31"/>
      <c r="S153" s="80" t="s">
        <v>81</v>
      </c>
      <c r="T153" s="95">
        <v>2.0</v>
      </c>
      <c r="U153" s="80" t="s">
        <v>49</v>
      </c>
      <c r="V153" s="225"/>
      <c r="W153" s="225">
        <v>27340.0</v>
      </c>
      <c r="X153" s="230" t="s">
        <v>51</v>
      </c>
      <c r="Y153" s="213">
        <f t="shared" si="52"/>
        <v>27340</v>
      </c>
      <c r="Z153" s="85">
        <f t="shared" si="49"/>
        <v>54680</v>
      </c>
      <c r="AA153" s="86">
        <v>0.12</v>
      </c>
      <c r="AB153" s="271">
        <f t="shared" si="50"/>
        <v>48118.4</v>
      </c>
      <c r="AC153" s="10"/>
      <c r="AD153" s="12"/>
      <c r="AE153" s="12"/>
      <c r="AF153" s="12"/>
      <c r="AG153" s="10"/>
      <c r="AH153" s="10">
        <f t="shared" si="51"/>
        <v>4811.84</v>
      </c>
    </row>
    <row r="154" ht="145.5" hidden="1" customHeight="1" outlineLevel="1">
      <c r="A154" s="471"/>
      <c r="B154" s="438" t="s">
        <v>56</v>
      </c>
      <c r="C154" s="439" t="s">
        <v>340</v>
      </c>
      <c r="D154" s="440" t="s">
        <v>341</v>
      </c>
      <c r="E154" s="339" t="s">
        <v>342</v>
      </c>
      <c r="F154" s="319" t="s">
        <v>312</v>
      </c>
      <c r="G154" s="441" t="s">
        <v>312</v>
      </c>
      <c r="H154" s="442"/>
      <c r="I154" s="442"/>
      <c r="J154" s="442"/>
      <c r="K154" s="443" t="s">
        <v>81</v>
      </c>
      <c r="L154" s="443">
        <v>1.0</v>
      </c>
      <c r="M154" s="444"/>
      <c r="N154" s="445"/>
      <c r="O154" s="444"/>
      <c r="P154" s="446"/>
      <c r="Q154" s="447" t="s">
        <v>49</v>
      </c>
      <c r="R154" s="447"/>
      <c r="S154" s="448" t="s">
        <v>81</v>
      </c>
      <c r="T154" s="449">
        <v>1.0</v>
      </c>
      <c r="U154" s="448" t="s">
        <v>49</v>
      </c>
      <c r="V154" s="475"/>
      <c r="W154" s="450">
        <f>3250+3140+2160+8680+1518</f>
        <v>18748</v>
      </c>
      <c r="X154" s="326" t="s">
        <v>51</v>
      </c>
      <c r="Y154" s="451">
        <f t="shared" si="52"/>
        <v>18748</v>
      </c>
      <c r="Z154" s="333">
        <f t="shared" si="49"/>
        <v>18748</v>
      </c>
      <c r="AA154" s="334">
        <v>0.12</v>
      </c>
      <c r="AB154" s="333">
        <f t="shared" si="50"/>
        <v>16498.24</v>
      </c>
      <c r="AC154" s="338"/>
      <c r="AD154" s="337"/>
      <c r="AE154" s="337"/>
      <c r="AF154" s="337"/>
      <c r="AG154" s="338"/>
      <c r="AH154" s="338">
        <f t="shared" si="51"/>
        <v>1649.824</v>
      </c>
    </row>
    <row r="155" hidden="1" outlineLevel="1">
      <c r="A155" s="467"/>
      <c r="B155" s="468" t="s">
        <v>56</v>
      </c>
      <c r="C155" s="24" t="s">
        <v>343</v>
      </c>
      <c r="D155" s="470" t="s">
        <v>343</v>
      </c>
      <c r="E155" s="221" t="s">
        <v>344</v>
      </c>
      <c r="F155" s="260" t="s">
        <v>312</v>
      </c>
      <c r="G155" s="222" t="s">
        <v>312</v>
      </c>
      <c r="H155" s="469"/>
      <c r="I155" s="469"/>
      <c r="J155" s="469"/>
      <c r="K155" s="226" t="s">
        <v>81</v>
      </c>
      <c r="L155" s="226">
        <v>1.0</v>
      </c>
      <c r="M155" s="227"/>
      <c r="N155" s="228"/>
      <c r="O155" s="229"/>
      <c r="P155" s="66"/>
      <c r="Q155" s="31" t="s">
        <v>49</v>
      </c>
      <c r="R155" s="31"/>
      <c r="S155" s="268" t="s">
        <v>81</v>
      </c>
      <c r="T155" s="95">
        <v>1.0</v>
      </c>
      <c r="U155" s="268" t="s">
        <v>49</v>
      </c>
      <c r="V155" s="269"/>
      <c r="W155" s="225">
        <v>22750.0</v>
      </c>
      <c r="X155" s="230" t="s">
        <v>51</v>
      </c>
      <c r="Y155" s="213">
        <f t="shared" si="52"/>
        <v>22750</v>
      </c>
      <c r="Z155" s="85">
        <f t="shared" si="49"/>
        <v>22750</v>
      </c>
      <c r="AA155" s="86">
        <v>0.12</v>
      </c>
      <c r="AB155" s="271">
        <f t="shared" si="50"/>
        <v>20020</v>
      </c>
      <c r="AC155" s="10"/>
      <c r="AD155" s="12"/>
      <c r="AE155" s="12"/>
      <c r="AF155" s="12"/>
      <c r="AG155" s="10"/>
      <c r="AH155" s="10">
        <f t="shared" si="51"/>
        <v>2002</v>
      </c>
    </row>
    <row r="156" hidden="1" outlineLevel="1">
      <c r="A156" s="467"/>
      <c r="B156" s="468" t="s">
        <v>56</v>
      </c>
      <c r="C156" s="24" t="s">
        <v>345</v>
      </c>
      <c r="D156" s="470" t="s">
        <v>345</v>
      </c>
      <c r="E156" s="2" t="s">
        <v>346</v>
      </c>
      <c r="F156" s="260" t="s">
        <v>312</v>
      </c>
      <c r="G156" s="222" t="s">
        <v>312</v>
      </c>
      <c r="H156" s="469"/>
      <c r="I156" s="469"/>
      <c r="J156" s="469"/>
      <c r="K156" s="226" t="s">
        <v>81</v>
      </c>
      <c r="L156" s="226">
        <v>1.0</v>
      </c>
      <c r="M156" s="227"/>
      <c r="N156" s="228"/>
      <c r="O156" s="229"/>
      <c r="P156" s="66"/>
      <c r="Q156" s="31" t="s">
        <v>49</v>
      </c>
      <c r="R156" s="31"/>
      <c r="S156" s="268" t="s">
        <v>81</v>
      </c>
      <c r="T156" s="95">
        <v>1.0</v>
      </c>
      <c r="U156" s="268" t="s">
        <v>49</v>
      </c>
      <c r="V156" s="269"/>
      <c r="W156" s="225">
        <v>32000.0</v>
      </c>
      <c r="X156" s="230" t="s">
        <v>51</v>
      </c>
      <c r="Y156" s="213">
        <f t="shared" si="52"/>
        <v>32000</v>
      </c>
      <c r="Z156" s="85">
        <f t="shared" si="49"/>
        <v>32000</v>
      </c>
      <c r="AA156" s="86">
        <v>0.12</v>
      </c>
      <c r="AB156" s="271">
        <f t="shared" si="50"/>
        <v>28160</v>
      </c>
      <c r="AC156" s="10"/>
      <c r="AD156" s="12"/>
      <c r="AE156" s="12"/>
      <c r="AF156" s="12"/>
      <c r="AG156" s="10"/>
      <c r="AH156" s="10">
        <f t="shared" si="51"/>
        <v>2816</v>
      </c>
    </row>
    <row r="157" hidden="1" outlineLevel="1">
      <c r="A157" s="467"/>
      <c r="B157" s="468" t="s">
        <v>56</v>
      </c>
      <c r="C157" s="24" t="s">
        <v>345</v>
      </c>
      <c r="D157" s="470" t="s">
        <v>345</v>
      </c>
      <c r="E157" s="221" t="s">
        <v>347</v>
      </c>
      <c r="F157" s="260" t="s">
        <v>312</v>
      </c>
      <c r="G157" s="222" t="s">
        <v>312</v>
      </c>
      <c r="H157" s="469"/>
      <c r="I157" s="469"/>
      <c r="J157" s="469"/>
      <c r="K157" s="226" t="s">
        <v>81</v>
      </c>
      <c r="L157" s="226">
        <v>1.0</v>
      </c>
      <c r="M157" s="227"/>
      <c r="N157" s="228"/>
      <c r="O157" s="229"/>
      <c r="P157" s="66"/>
      <c r="Q157" s="31" t="s">
        <v>49</v>
      </c>
      <c r="R157" s="31"/>
      <c r="S157" s="268" t="s">
        <v>81</v>
      </c>
      <c r="T157" s="95">
        <v>1.0</v>
      </c>
      <c r="U157" s="268" t="s">
        <v>49</v>
      </c>
      <c r="V157" s="269"/>
      <c r="W157" s="225">
        <v>3000.0</v>
      </c>
      <c r="X157" s="230" t="s">
        <v>51</v>
      </c>
      <c r="Y157" s="213">
        <f t="shared" si="52"/>
        <v>3000</v>
      </c>
      <c r="Z157" s="85">
        <f t="shared" si="49"/>
        <v>3000</v>
      </c>
      <c r="AA157" s="86">
        <v>0.12</v>
      </c>
      <c r="AB157" s="271">
        <f t="shared" si="50"/>
        <v>2640</v>
      </c>
      <c r="AC157" s="10"/>
      <c r="AD157" s="12"/>
      <c r="AE157" s="12"/>
      <c r="AF157" s="12"/>
      <c r="AG157" s="10"/>
      <c r="AH157" s="10">
        <f t="shared" si="51"/>
        <v>264</v>
      </c>
    </row>
    <row r="158" hidden="1" outlineLevel="1">
      <c r="A158" s="467"/>
      <c r="B158" s="468" t="s">
        <v>56</v>
      </c>
      <c r="C158" s="24"/>
      <c r="D158" s="476"/>
      <c r="E158" s="221" t="s">
        <v>348</v>
      </c>
      <c r="F158" s="260" t="s">
        <v>312</v>
      </c>
      <c r="G158" s="222" t="s">
        <v>312</v>
      </c>
      <c r="H158" s="469"/>
      <c r="I158" s="469"/>
      <c r="J158" s="469"/>
      <c r="K158" s="226" t="s">
        <v>81</v>
      </c>
      <c r="L158" s="226">
        <v>2.0</v>
      </c>
      <c r="M158" s="227"/>
      <c r="N158" s="228"/>
      <c r="O158" s="229"/>
      <c r="P158" s="66"/>
      <c r="Q158" s="31" t="s">
        <v>49</v>
      </c>
      <c r="R158" s="31"/>
      <c r="S158" s="268" t="s">
        <v>81</v>
      </c>
      <c r="T158" s="95">
        <v>2.0</v>
      </c>
      <c r="U158" s="268" t="s">
        <v>49</v>
      </c>
      <c r="V158" s="269"/>
      <c r="W158" s="225">
        <v>1401.0</v>
      </c>
      <c r="X158" s="230" t="s">
        <v>51</v>
      </c>
      <c r="Y158" s="213">
        <f t="shared" si="52"/>
        <v>1401</v>
      </c>
      <c r="Z158" s="85">
        <f t="shared" si="49"/>
        <v>2802</v>
      </c>
      <c r="AA158" s="86">
        <v>0.12</v>
      </c>
      <c r="AB158" s="271">
        <f t="shared" si="50"/>
        <v>2465.76</v>
      </c>
      <c r="AC158" s="10"/>
      <c r="AD158" s="12"/>
      <c r="AE158" s="12"/>
      <c r="AF158" s="12"/>
      <c r="AG158" s="10"/>
      <c r="AH158" s="10">
        <f t="shared" si="51"/>
        <v>246.576</v>
      </c>
    </row>
    <row r="159" hidden="1" outlineLevel="1">
      <c r="A159" s="471"/>
      <c r="B159" s="438" t="s">
        <v>56</v>
      </c>
      <c r="C159" s="439" t="s">
        <v>349</v>
      </c>
      <c r="D159" s="440" t="s">
        <v>349</v>
      </c>
      <c r="E159" s="339" t="s">
        <v>350</v>
      </c>
      <c r="F159" s="319" t="s">
        <v>312</v>
      </c>
      <c r="G159" s="441" t="s">
        <v>312</v>
      </c>
      <c r="H159" s="442"/>
      <c r="I159" s="442"/>
      <c r="J159" s="442"/>
      <c r="K159" s="443" t="s">
        <v>81</v>
      </c>
      <c r="L159" s="443">
        <v>1.0</v>
      </c>
      <c r="M159" s="444"/>
      <c r="N159" s="445"/>
      <c r="O159" s="444"/>
      <c r="P159" s="446"/>
      <c r="Q159" s="447" t="s">
        <v>49</v>
      </c>
      <c r="R159" s="447"/>
      <c r="S159" s="448" t="s">
        <v>81</v>
      </c>
      <c r="T159" s="449">
        <v>1.0</v>
      </c>
      <c r="U159" s="448" t="s">
        <v>49</v>
      </c>
      <c r="V159" s="475"/>
      <c r="W159" s="450">
        <v>14600.0</v>
      </c>
      <c r="X159" s="326" t="s">
        <v>51</v>
      </c>
      <c r="Y159" s="451">
        <f t="shared" si="52"/>
        <v>14600</v>
      </c>
      <c r="Z159" s="333">
        <f t="shared" si="49"/>
        <v>14600</v>
      </c>
      <c r="AA159" s="334">
        <v>0.12</v>
      </c>
      <c r="AB159" s="333">
        <f t="shared" si="50"/>
        <v>12848</v>
      </c>
      <c r="AC159" s="338"/>
      <c r="AD159" s="337"/>
      <c r="AE159" s="337"/>
      <c r="AF159" s="337"/>
      <c r="AG159" s="338"/>
      <c r="AH159" s="338">
        <f t="shared" si="51"/>
        <v>1284.8</v>
      </c>
    </row>
    <row r="160" ht="37.5" hidden="1" customHeight="1" outlineLevel="1">
      <c r="A160" s="467"/>
      <c r="B160" s="468" t="s">
        <v>56</v>
      </c>
      <c r="C160" s="24" t="s">
        <v>349</v>
      </c>
      <c r="D160" s="470" t="s">
        <v>349</v>
      </c>
      <c r="E160" s="221" t="s">
        <v>351</v>
      </c>
      <c r="F160" s="477" t="s">
        <v>312</v>
      </c>
      <c r="G160" s="478" t="s">
        <v>312</v>
      </c>
      <c r="H160" s="277"/>
      <c r="I160" s="277"/>
      <c r="J160" s="277"/>
      <c r="K160" s="226" t="s">
        <v>81</v>
      </c>
      <c r="L160" s="226">
        <v>1.0</v>
      </c>
      <c r="M160" s="227"/>
      <c r="N160" s="228"/>
      <c r="O160" s="229"/>
      <c r="P160" s="66"/>
      <c r="Q160" s="31" t="s">
        <v>49</v>
      </c>
      <c r="R160" s="31"/>
      <c r="S160" s="268" t="s">
        <v>81</v>
      </c>
      <c r="T160" s="95">
        <v>1.0</v>
      </c>
      <c r="U160" s="268" t="s">
        <v>49</v>
      </c>
      <c r="V160" s="269"/>
      <c r="W160" s="225">
        <v>7304.0</v>
      </c>
      <c r="X160" s="230" t="s">
        <v>51</v>
      </c>
      <c r="Y160" s="213">
        <f t="shared" si="52"/>
        <v>7304</v>
      </c>
      <c r="Z160" s="85">
        <f t="shared" si="49"/>
        <v>7304</v>
      </c>
      <c r="AA160" s="86">
        <v>0.12</v>
      </c>
      <c r="AB160" s="271">
        <f t="shared" si="50"/>
        <v>6427.52</v>
      </c>
      <c r="AC160" s="10"/>
      <c r="AD160" s="12"/>
      <c r="AE160" s="12"/>
      <c r="AF160" s="12"/>
      <c r="AG160" s="10"/>
      <c r="AH160" s="10">
        <f t="shared" si="51"/>
        <v>642.752</v>
      </c>
    </row>
    <row r="161" hidden="1" outlineLevel="1">
      <c r="A161" s="452"/>
      <c r="B161" s="453" t="s">
        <v>56</v>
      </c>
      <c r="C161" s="454" t="s">
        <v>352</v>
      </c>
      <c r="D161" s="455" t="s">
        <v>352</v>
      </c>
      <c r="E161" s="456" t="s">
        <v>353</v>
      </c>
      <c r="F161" s="349" t="s">
        <v>312</v>
      </c>
      <c r="G161" s="457" t="s">
        <v>312</v>
      </c>
      <c r="H161" s="465"/>
      <c r="I161" s="465"/>
      <c r="J161" s="465"/>
      <c r="K161" s="459" t="s">
        <v>81</v>
      </c>
      <c r="L161" s="459">
        <v>1.0</v>
      </c>
      <c r="M161" s="460"/>
      <c r="N161" s="461"/>
      <c r="O161" s="460"/>
      <c r="P161" s="143"/>
      <c r="Q161" s="149" t="s">
        <v>49</v>
      </c>
      <c r="R161" s="149"/>
      <c r="S161" s="462" t="s">
        <v>81</v>
      </c>
      <c r="T161" s="146">
        <v>1.0</v>
      </c>
      <c r="U161" s="462" t="s">
        <v>49</v>
      </c>
      <c r="V161" s="479"/>
      <c r="W161" s="466">
        <v>14690.0</v>
      </c>
      <c r="X161" s="463" t="s">
        <v>51</v>
      </c>
      <c r="Y161" s="436">
        <f t="shared" si="52"/>
        <v>14690</v>
      </c>
      <c r="Z161" s="151">
        <f t="shared" si="49"/>
        <v>14690</v>
      </c>
      <c r="AA161" s="152">
        <v>0.12</v>
      </c>
      <c r="AB161" s="151">
        <f t="shared" si="50"/>
        <v>12927.2</v>
      </c>
      <c r="AC161" s="155"/>
      <c r="AD161" s="153"/>
      <c r="AE161" s="153"/>
      <c r="AF161" s="153"/>
      <c r="AG161" s="154">
        <v>0.1</v>
      </c>
      <c r="AH161" s="155">
        <f t="shared" si="51"/>
        <v>1292.72</v>
      </c>
    </row>
    <row r="162" ht="45.75" customHeight="1" collapsed="1">
      <c r="A162" s="480" t="str">
        <f>if(left(E162,11)="Общая сумма","Подитог","")</f>
        <v/>
      </c>
      <c r="B162" s="481"/>
      <c r="C162" s="60"/>
      <c r="D162" s="58"/>
      <c r="E162" s="58" t="s">
        <v>354</v>
      </c>
      <c r="F162" s="58"/>
      <c r="G162" s="59"/>
      <c r="H162" s="60"/>
      <c r="I162" s="60"/>
      <c r="J162" s="60"/>
      <c r="K162" s="60"/>
      <c r="L162" s="482"/>
      <c r="M162" s="483"/>
      <c r="N162" s="484"/>
      <c r="O162" s="485"/>
      <c r="P162" s="486"/>
      <c r="Q162" s="59"/>
      <c r="R162" s="59"/>
      <c r="S162" s="487"/>
      <c r="T162" s="487"/>
      <c r="U162" s="487"/>
      <c r="V162" s="487"/>
      <c r="W162" s="487"/>
      <c r="X162" s="60"/>
      <c r="Y162" s="70">
        <f t="shared" si="52"/>
        <v>0</v>
      </c>
      <c r="Z162" s="62">
        <f>SUMIF(Q163:Q176,"Основа",Z163:Z176)</f>
        <v>0</v>
      </c>
      <c r="AA162" s="71"/>
      <c r="AB162" s="62">
        <f>SUMIF(Q163:Q176,"Основа",AB163:AB176)</f>
        <v>0</v>
      </c>
      <c r="AC162" s="62"/>
      <c r="AD162" s="417"/>
      <c r="AE162" s="417"/>
      <c r="AF162" s="417"/>
      <c r="AG162" s="62"/>
      <c r="AH162" s="62">
        <f>SUMIF(Q163:Q176,"Основа",AH163:AH176)</f>
        <v>0</v>
      </c>
    </row>
    <row r="163" hidden="1" outlineLevel="1">
      <c r="A163" s="467" t="s">
        <v>355</v>
      </c>
      <c r="B163" s="468" t="s">
        <v>74</v>
      </c>
      <c r="C163" s="27" t="s">
        <v>356</v>
      </c>
      <c r="D163" s="221"/>
      <c r="E163" s="221" t="s">
        <v>357</v>
      </c>
      <c r="F163" s="221"/>
      <c r="G163" s="75" t="s">
        <v>80</v>
      </c>
      <c r="H163" s="469"/>
      <c r="I163" s="469"/>
      <c r="J163" s="469"/>
      <c r="K163" s="422" t="s">
        <v>81</v>
      </c>
      <c r="L163" s="226" t="s">
        <v>146</v>
      </c>
      <c r="M163" s="227"/>
      <c r="N163" s="228"/>
      <c r="O163" s="229"/>
      <c r="P163" s="66"/>
      <c r="Q163" s="29" t="s">
        <v>49</v>
      </c>
      <c r="R163" s="29" t="s">
        <v>358</v>
      </c>
      <c r="S163" s="225"/>
      <c r="T163" s="225"/>
      <c r="U163" s="225"/>
      <c r="V163" s="225"/>
      <c r="W163" s="82">
        <v>0.0</v>
      </c>
      <c r="X163" s="230" t="s">
        <v>51</v>
      </c>
      <c r="Y163" s="213">
        <f t="shared" si="52"/>
        <v>0</v>
      </c>
      <c r="Z163" s="271">
        <f t="shared" ref="Z163:Z176" si="53">if(and($B163="",$E163&lt;&gt;"",$G163="",$L163="",$W163=""),sumifs(Z:Z,$Q:$Q,"Основа",#REF!,#REF!),if(and($B163&lt;&gt;"",$E163="",$G163="",$L163="",$W163=""),sumifs(Z:Z,$Q:$Q,"Основа",#REF!,#REF!,#REF!,#REF!),$L163*$Y163))</f>
        <v>0</v>
      </c>
      <c r="AA163" s="86">
        <v>0.15</v>
      </c>
      <c r="AB163" s="271">
        <f t="shared" ref="AB163:AB176" si="54">Z163-Z163*AA163</f>
        <v>0</v>
      </c>
      <c r="AC163" s="10"/>
      <c r="AD163" s="12"/>
      <c r="AE163" s="12"/>
      <c r="AF163" s="12"/>
      <c r="AG163" s="10"/>
      <c r="AH163" s="10">
        <f>AB163*0.1</f>
        <v>0</v>
      </c>
    </row>
    <row r="164" hidden="1" outlineLevel="1">
      <c r="A164" s="467" t="str">
        <f t="shared" ref="A164:A167" si="55">if(left(E164,11)="Общая сумма","Подитог","")</f>
        <v/>
      </c>
      <c r="B164" s="468" t="s">
        <v>74</v>
      </c>
      <c r="C164" s="24" t="s">
        <v>359</v>
      </c>
      <c r="D164" s="221"/>
      <c r="E164" s="221" t="s">
        <v>360</v>
      </c>
      <c r="F164" s="221"/>
      <c r="G164" s="222" t="s">
        <v>361</v>
      </c>
      <c r="H164" s="469"/>
      <c r="I164" s="469"/>
      <c r="J164" s="469"/>
      <c r="K164" s="422" t="s">
        <v>81</v>
      </c>
      <c r="L164" s="226" t="s">
        <v>146</v>
      </c>
      <c r="M164" s="227"/>
      <c r="N164" s="228"/>
      <c r="O164" s="229"/>
      <c r="P164" s="66"/>
      <c r="Q164" s="29" t="s">
        <v>49</v>
      </c>
      <c r="R164" s="29"/>
      <c r="S164" s="225"/>
      <c r="T164" s="225"/>
      <c r="U164" s="225"/>
      <c r="V164" s="225"/>
      <c r="W164" s="82">
        <v>0.0</v>
      </c>
      <c r="X164" s="230" t="s">
        <v>51</v>
      </c>
      <c r="Y164" s="213">
        <f t="shared" si="52"/>
        <v>0</v>
      </c>
      <c r="Z164" s="271">
        <f t="shared" si="53"/>
        <v>0</v>
      </c>
      <c r="AA164" s="86">
        <v>0.0</v>
      </c>
      <c r="AB164" s="271">
        <f t="shared" si="54"/>
        <v>0</v>
      </c>
      <c r="AC164" s="10"/>
      <c r="AD164" s="12"/>
      <c r="AE164" s="12"/>
      <c r="AF164" s="12"/>
      <c r="AG164" s="10"/>
      <c r="AH164" s="10">
        <f t="shared" ref="AH164:AH168" si="56">AB164*0.05</f>
        <v>0</v>
      </c>
    </row>
    <row r="165" hidden="1" outlineLevel="1">
      <c r="A165" s="467" t="str">
        <f t="shared" si="55"/>
        <v/>
      </c>
      <c r="B165" s="468" t="s">
        <v>74</v>
      </c>
      <c r="C165" s="24" t="s">
        <v>362</v>
      </c>
      <c r="D165" s="221"/>
      <c r="E165" s="221" t="s">
        <v>363</v>
      </c>
      <c r="F165" s="221"/>
      <c r="G165" s="222" t="s">
        <v>361</v>
      </c>
      <c r="H165" s="469"/>
      <c r="I165" s="469"/>
      <c r="J165" s="469"/>
      <c r="K165" s="422" t="s">
        <v>81</v>
      </c>
      <c r="L165" s="226" t="s">
        <v>146</v>
      </c>
      <c r="M165" s="227"/>
      <c r="N165" s="228"/>
      <c r="O165" s="229"/>
      <c r="P165" s="66"/>
      <c r="Q165" s="29" t="s">
        <v>49</v>
      </c>
      <c r="R165" s="29"/>
      <c r="S165" s="225"/>
      <c r="T165" s="225"/>
      <c r="U165" s="225"/>
      <c r="V165" s="225"/>
      <c r="W165" s="82">
        <v>0.0</v>
      </c>
      <c r="X165" s="230" t="s">
        <v>51</v>
      </c>
      <c r="Y165" s="213">
        <f t="shared" si="52"/>
        <v>0</v>
      </c>
      <c r="Z165" s="271">
        <f t="shared" si="53"/>
        <v>0</v>
      </c>
      <c r="AA165" s="86">
        <v>0.0</v>
      </c>
      <c r="AB165" s="271">
        <f t="shared" si="54"/>
        <v>0</v>
      </c>
      <c r="AC165" s="10"/>
      <c r="AD165" s="12"/>
      <c r="AE165" s="12"/>
      <c r="AF165" s="12"/>
      <c r="AG165" s="10"/>
      <c r="AH165" s="10">
        <f t="shared" si="56"/>
        <v>0</v>
      </c>
    </row>
    <row r="166" hidden="1" outlineLevel="1">
      <c r="A166" s="467" t="str">
        <f t="shared" si="55"/>
        <v/>
      </c>
      <c r="B166" s="468" t="s">
        <v>74</v>
      </c>
      <c r="C166" s="24" t="s">
        <v>364</v>
      </c>
      <c r="D166" s="221"/>
      <c r="E166" s="221" t="s">
        <v>365</v>
      </c>
      <c r="F166" s="221"/>
      <c r="G166" s="222" t="s">
        <v>361</v>
      </c>
      <c r="H166" s="469"/>
      <c r="I166" s="469"/>
      <c r="J166" s="469"/>
      <c r="K166" s="422" t="s">
        <v>81</v>
      </c>
      <c r="L166" s="226" t="s">
        <v>146</v>
      </c>
      <c r="M166" s="227"/>
      <c r="N166" s="228"/>
      <c r="O166" s="229"/>
      <c r="P166" s="66"/>
      <c r="Q166" s="29" t="s">
        <v>49</v>
      </c>
      <c r="R166" s="29"/>
      <c r="S166" s="225"/>
      <c r="T166" s="225"/>
      <c r="U166" s="225"/>
      <c r="V166" s="225"/>
      <c r="W166" s="82">
        <v>0.0</v>
      </c>
      <c r="X166" s="230" t="s">
        <v>51</v>
      </c>
      <c r="Y166" s="213">
        <f t="shared" si="52"/>
        <v>0</v>
      </c>
      <c r="Z166" s="271">
        <f t="shared" si="53"/>
        <v>0</v>
      </c>
      <c r="AA166" s="86">
        <v>0.0</v>
      </c>
      <c r="AB166" s="271">
        <f t="shared" si="54"/>
        <v>0</v>
      </c>
      <c r="AC166" s="10"/>
      <c r="AD166" s="12"/>
      <c r="AE166" s="12"/>
      <c r="AF166" s="12"/>
      <c r="AG166" s="10"/>
      <c r="AH166" s="10">
        <f t="shared" si="56"/>
        <v>0</v>
      </c>
    </row>
    <row r="167" hidden="1" outlineLevel="1">
      <c r="A167" s="467" t="str">
        <f t="shared" si="55"/>
        <v/>
      </c>
      <c r="B167" s="468" t="s">
        <v>74</v>
      </c>
      <c r="C167" s="24" t="s">
        <v>366</v>
      </c>
      <c r="D167" s="221"/>
      <c r="E167" s="221" t="s">
        <v>367</v>
      </c>
      <c r="F167" s="221"/>
      <c r="G167" s="222" t="s">
        <v>368</v>
      </c>
      <c r="H167" s="469"/>
      <c r="I167" s="469"/>
      <c r="J167" s="469"/>
      <c r="K167" s="422" t="s">
        <v>81</v>
      </c>
      <c r="L167" s="226" t="s">
        <v>146</v>
      </c>
      <c r="M167" s="227"/>
      <c r="N167" s="228"/>
      <c r="O167" s="229"/>
      <c r="P167" s="66"/>
      <c r="Q167" s="29" t="s">
        <v>49</v>
      </c>
      <c r="R167" s="29"/>
      <c r="S167" s="225"/>
      <c r="T167" s="225"/>
      <c r="U167" s="225"/>
      <c r="V167" s="225"/>
      <c r="W167" s="82">
        <v>0.0</v>
      </c>
      <c r="X167" s="230" t="s">
        <v>51</v>
      </c>
      <c r="Y167" s="213">
        <f t="shared" si="52"/>
        <v>0</v>
      </c>
      <c r="Z167" s="271">
        <f t="shared" si="53"/>
        <v>0</v>
      </c>
      <c r="AA167" s="86">
        <v>0.0</v>
      </c>
      <c r="AB167" s="271">
        <f t="shared" si="54"/>
        <v>0</v>
      </c>
      <c r="AC167" s="10"/>
      <c r="AD167" s="12"/>
      <c r="AE167" s="12"/>
      <c r="AF167" s="12"/>
      <c r="AG167" s="10"/>
      <c r="AH167" s="10">
        <f t="shared" si="56"/>
        <v>0</v>
      </c>
    </row>
    <row r="168" hidden="1" outlineLevel="1">
      <c r="A168" s="467"/>
      <c r="B168" s="468" t="s">
        <v>74</v>
      </c>
      <c r="C168" s="24"/>
      <c r="D168" s="221"/>
      <c r="E168" s="221" t="s">
        <v>369</v>
      </c>
      <c r="F168" s="221"/>
      <c r="G168" s="222" t="s">
        <v>370</v>
      </c>
      <c r="H168" s="469"/>
      <c r="I168" s="469"/>
      <c r="J168" s="469"/>
      <c r="K168" s="422" t="s">
        <v>81</v>
      </c>
      <c r="L168" s="226" t="s">
        <v>146</v>
      </c>
      <c r="M168" s="227"/>
      <c r="N168" s="228"/>
      <c r="O168" s="229"/>
      <c r="P168" s="66"/>
      <c r="Q168" s="29" t="s">
        <v>49</v>
      </c>
      <c r="R168" s="29"/>
      <c r="S168" s="225"/>
      <c r="T168" s="225"/>
      <c r="U168" s="225"/>
      <c r="V168" s="225"/>
      <c r="W168" s="82">
        <v>0.0</v>
      </c>
      <c r="X168" s="230" t="s">
        <v>51</v>
      </c>
      <c r="Y168" s="213">
        <f t="shared" si="52"/>
        <v>0</v>
      </c>
      <c r="Z168" s="271">
        <f t="shared" si="53"/>
        <v>0</v>
      </c>
      <c r="AA168" s="86">
        <v>0.0</v>
      </c>
      <c r="AB168" s="271">
        <f t="shared" si="54"/>
        <v>0</v>
      </c>
      <c r="AC168" s="10"/>
      <c r="AD168" s="12"/>
      <c r="AE168" s="12"/>
      <c r="AF168" s="12"/>
      <c r="AG168" s="10"/>
      <c r="AH168" s="10">
        <f t="shared" si="56"/>
        <v>0</v>
      </c>
    </row>
    <row r="169" hidden="1" outlineLevel="1">
      <c r="A169" s="467"/>
      <c r="B169" s="468" t="s">
        <v>74</v>
      </c>
      <c r="C169" s="27" t="s">
        <v>371</v>
      </c>
      <c r="D169" s="2"/>
      <c r="E169" s="2" t="s">
        <v>372</v>
      </c>
      <c r="F169" s="2"/>
      <c r="G169" s="222" t="s">
        <v>373</v>
      </c>
      <c r="H169" s="469"/>
      <c r="I169" s="469"/>
      <c r="J169" s="469"/>
      <c r="K169" s="422" t="s">
        <v>81</v>
      </c>
      <c r="L169" s="226" t="s">
        <v>146</v>
      </c>
      <c r="M169" s="227"/>
      <c r="N169" s="228"/>
      <c r="O169" s="227"/>
      <c r="P169" s="99"/>
      <c r="Q169" s="29" t="s">
        <v>133</v>
      </c>
      <c r="R169" s="29"/>
      <c r="S169" s="82"/>
      <c r="T169" s="82"/>
      <c r="U169" s="82"/>
      <c r="V169" s="82"/>
      <c r="W169" s="82">
        <v>0.0</v>
      </c>
      <c r="X169" s="82" t="s">
        <v>51</v>
      </c>
      <c r="Y169" s="213">
        <f t="shared" si="52"/>
        <v>0</v>
      </c>
      <c r="Z169" s="85">
        <f t="shared" si="53"/>
        <v>0</v>
      </c>
      <c r="AA169" s="86">
        <v>0.15</v>
      </c>
      <c r="AB169" s="85">
        <f t="shared" si="54"/>
        <v>0</v>
      </c>
      <c r="AC169" s="10"/>
      <c r="AD169" s="12"/>
      <c r="AE169" s="12"/>
      <c r="AF169" s="12"/>
      <c r="AG169" s="10"/>
      <c r="AH169" s="10">
        <f t="shared" ref="AH169:AH171" si="57">AB169*0.1</f>
        <v>0</v>
      </c>
    </row>
    <row r="170" ht="33.0" hidden="1" customHeight="1" outlineLevel="1">
      <c r="A170" s="471"/>
      <c r="B170" s="438" t="s">
        <v>74</v>
      </c>
      <c r="C170" s="488" t="s">
        <v>371</v>
      </c>
      <c r="D170" s="318"/>
      <c r="E170" s="318" t="s">
        <v>374</v>
      </c>
      <c r="F170" s="318"/>
      <c r="G170" s="489" t="s">
        <v>375</v>
      </c>
      <c r="H170" s="442"/>
      <c r="I170" s="442"/>
      <c r="J170" s="442"/>
      <c r="K170" s="490" t="s">
        <v>81</v>
      </c>
      <c r="L170" s="443" t="s">
        <v>146</v>
      </c>
      <c r="M170" s="444"/>
      <c r="N170" s="445"/>
      <c r="O170" s="444"/>
      <c r="P170" s="446"/>
      <c r="Q170" s="491" t="s">
        <v>133</v>
      </c>
      <c r="R170" s="491"/>
      <c r="S170" s="326"/>
      <c r="T170" s="326"/>
      <c r="U170" s="326"/>
      <c r="V170" s="326"/>
      <c r="W170" s="326">
        <v>0.0</v>
      </c>
      <c r="X170" s="326" t="s">
        <v>51</v>
      </c>
      <c r="Y170" s="451">
        <f t="shared" si="52"/>
        <v>0</v>
      </c>
      <c r="Z170" s="333">
        <f t="shared" si="53"/>
        <v>0</v>
      </c>
      <c r="AA170" s="334">
        <v>0.15</v>
      </c>
      <c r="AB170" s="333">
        <f t="shared" si="54"/>
        <v>0</v>
      </c>
      <c r="AC170" s="338"/>
      <c r="AD170" s="337"/>
      <c r="AE170" s="337"/>
      <c r="AF170" s="337"/>
      <c r="AG170" s="338"/>
      <c r="AH170" s="338">
        <f t="shared" si="57"/>
        <v>0</v>
      </c>
    </row>
    <row r="171" ht="33.0" hidden="1" customHeight="1" outlineLevel="1">
      <c r="A171" s="437" t="s">
        <v>376</v>
      </c>
      <c r="B171" s="438" t="s">
        <v>74</v>
      </c>
      <c r="C171" s="488" t="s">
        <v>371</v>
      </c>
      <c r="D171" s="318"/>
      <c r="E171" s="318" t="s">
        <v>372</v>
      </c>
      <c r="F171" s="318"/>
      <c r="G171" s="489" t="s">
        <v>161</v>
      </c>
      <c r="H171" s="442"/>
      <c r="I171" s="442"/>
      <c r="J171" s="442"/>
      <c r="K171" s="490" t="s">
        <v>81</v>
      </c>
      <c r="L171" s="443" t="s">
        <v>146</v>
      </c>
      <c r="M171" s="444"/>
      <c r="N171" s="445"/>
      <c r="O171" s="444"/>
      <c r="P171" s="446"/>
      <c r="Q171" s="491" t="s">
        <v>133</v>
      </c>
      <c r="R171" s="491"/>
      <c r="S171" s="326"/>
      <c r="T171" s="326"/>
      <c r="U171" s="326"/>
      <c r="V171" s="326"/>
      <c r="W171" s="326">
        <v>0.0</v>
      </c>
      <c r="X171" s="326" t="s">
        <v>51</v>
      </c>
      <c r="Y171" s="451">
        <f t="shared" si="52"/>
        <v>0</v>
      </c>
      <c r="Z171" s="333">
        <f t="shared" si="53"/>
        <v>0</v>
      </c>
      <c r="AA171" s="334">
        <v>0.15</v>
      </c>
      <c r="AB171" s="333">
        <f t="shared" si="54"/>
        <v>0</v>
      </c>
      <c r="AC171" s="338"/>
      <c r="AD171" s="337"/>
      <c r="AE171" s="337"/>
      <c r="AF171" s="337"/>
      <c r="AG171" s="338"/>
      <c r="AH171" s="338">
        <f t="shared" si="57"/>
        <v>0</v>
      </c>
    </row>
    <row r="172" hidden="1" outlineLevel="1">
      <c r="A172" s="467"/>
      <c r="B172" s="468" t="s">
        <v>74</v>
      </c>
      <c r="C172" s="24" t="s">
        <v>377</v>
      </c>
      <c r="D172" s="221"/>
      <c r="E172" s="221" t="s">
        <v>378</v>
      </c>
      <c r="F172" s="221"/>
      <c r="G172" s="222" t="s">
        <v>379</v>
      </c>
      <c r="H172" s="469"/>
      <c r="I172" s="469"/>
      <c r="J172" s="469"/>
      <c r="K172" s="422" t="s">
        <v>81</v>
      </c>
      <c r="L172" s="226" t="s">
        <v>218</v>
      </c>
      <c r="M172" s="227"/>
      <c r="N172" s="228"/>
      <c r="O172" s="229"/>
      <c r="P172" s="66"/>
      <c r="Q172" s="29" t="s">
        <v>49</v>
      </c>
      <c r="R172" s="29"/>
      <c r="S172" s="225"/>
      <c r="T172" s="225"/>
      <c r="U172" s="225"/>
      <c r="V172" s="225"/>
      <c r="W172" s="82">
        <v>0.0</v>
      </c>
      <c r="X172" s="230" t="s">
        <v>51</v>
      </c>
      <c r="Y172" s="213">
        <f t="shared" si="52"/>
        <v>0</v>
      </c>
      <c r="Z172" s="271">
        <f t="shared" si="53"/>
        <v>0</v>
      </c>
      <c r="AA172" s="86">
        <v>0.0</v>
      </c>
      <c r="AB172" s="271">
        <f t="shared" si="54"/>
        <v>0</v>
      </c>
      <c r="AC172" s="10"/>
      <c r="AD172" s="12"/>
      <c r="AE172" s="12"/>
      <c r="AF172" s="12"/>
      <c r="AG172" s="10"/>
      <c r="AH172" s="10">
        <f t="shared" ref="AH172:AH176" si="58">AB172*0.05</f>
        <v>0</v>
      </c>
    </row>
    <row r="173" hidden="1" outlineLevel="1">
      <c r="A173" s="467"/>
      <c r="B173" s="468" t="s">
        <v>74</v>
      </c>
      <c r="C173" s="24" t="s">
        <v>380</v>
      </c>
      <c r="D173" s="221"/>
      <c r="E173" s="221" t="s">
        <v>381</v>
      </c>
      <c r="F173" s="221"/>
      <c r="G173" s="222" t="s">
        <v>379</v>
      </c>
      <c r="H173" s="469"/>
      <c r="I173" s="469"/>
      <c r="J173" s="469"/>
      <c r="K173" s="422" t="s">
        <v>81</v>
      </c>
      <c r="L173" s="226" t="s">
        <v>146</v>
      </c>
      <c r="M173" s="227"/>
      <c r="N173" s="228"/>
      <c r="O173" s="229"/>
      <c r="P173" s="66"/>
      <c r="Q173" s="29" t="s">
        <v>49</v>
      </c>
      <c r="R173" s="29"/>
      <c r="S173" s="225"/>
      <c r="T173" s="225"/>
      <c r="U173" s="225"/>
      <c r="V173" s="225"/>
      <c r="W173" s="82">
        <v>0.0</v>
      </c>
      <c r="X173" s="230" t="s">
        <v>51</v>
      </c>
      <c r="Y173" s="213">
        <f t="shared" si="52"/>
        <v>0</v>
      </c>
      <c r="Z173" s="271">
        <f t="shared" si="53"/>
        <v>0</v>
      </c>
      <c r="AA173" s="86">
        <v>0.0</v>
      </c>
      <c r="AB173" s="271">
        <f t="shared" si="54"/>
        <v>0</v>
      </c>
      <c r="AC173" s="10"/>
      <c r="AD173" s="12"/>
      <c r="AE173" s="12"/>
      <c r="AF173" s="12"/>
      <c r="AG173" s="10"/>
      <c r="AH173" s="10">
        <f t="shared" si="58"/>
        <v>0</v>
      </c>
    </row>
    <row r="174" hidden="1" outlineLevel="1">
      <c r="A174" s="467"/>
      <c r="B174" s="468" t="s">
        <v>74</v>
      </c>
      <c r="C174" s="24" t="s">
        <v>382</v>
      </c>
      <c r="D174" s="221"/>
      <c r="E174" s="221" t="s">
        <v>383</v>
      </c>
      <c r="F174" s="221"/>
      <c r="G174" s="222" t="s">
        <v>379</v>
      </c>
      <c r="H174" s="469"/>
      <c r="I174" s="469"/>
      <c r="J174" s="469"/>
      <c r="K174" s="422" t="s">
        <v>81</v>
      </c>
      <c r="L174" s="226" t="s">
        <v>146</v>
      </c>
      <c r="M174" s="227"/>
      <c r="N174" s="228"/>
      <c r="O174" s="229"/>
      <c r="P174" s="66"/>
      <c r="Q174" s="29" t="s">
        <v>49</v>
      </c>
      <c r="R174" s="29"/>
      <c r="S174" s="225"/>
      <c r="T174" s="225"/>
      <c r="U174" s="225"/>
      <c r="V174" s="225"/>
      <c r="W174" s="82">
        <v>0.0</v>
      </c>
      <c r="X174" s="230" t="s">
        <v>51</v>
      </c>
      <c r="Y174" s="213">
        <f t="shared" si="52"/>
        <v>0</v>
      </c>
      <c r="Z174" s="271">
        <f t="shared" si="53"/>
        <v>0</v>
      </c>
      <c r="AA174" s="86">
        <v>0.0</v>
      </c>
      <c r="AB174" s="271">
        <f t="shared" si="54"/>
        <v>0</v>
      </c>
      <c r="AC174" s="10"/>
      <c r="AD174" s="12"/>
      <c r="AE174" s="12"/>
      <c r="AF174" s="12"/>
      <c r="AG174" s="10"/>
      <c r="AH174" s="10">
        <f t="shared" si="58"/>
        <v>0</v>
      </c>
    </row>
    <row r="175" hidden="1" outlineLevel="1">
      <c r="A175" s="467"/>
      <c r="B175" s="468" t="s">
        <v>74</v>
      </c>
      <c r="C175" s="24" t="s">
        <v>384</v>
      </c>
      <c r="D175" s="221"/>
      <c r="E175" s="221" t="s">
        <v>385</v>
      </c>
      <c r="F175" s="221"/>
      <c r="G175" s="222" t="s">
        <v>379</v>
      </c>
      <c r="H175" s="469"/>
      <c r="I175" s="469"/>
      <c r="J175" s="469"/>
      <c r="K175" s="422" t="s">
        <v>81</v>
      </c>
      <c r="L175" s="226" t="s">
        <v>146</v>
      </c>
      <c r="M175" s="227"/>
      <c r="N175" s="228"/>
      <c r="O175" s="229"/>
      <c r="P175" s="66"/>
      <c r="Q175" s="29" t="s">
        <v>49</v>
      </c>
      <c r="R175" s="29"/>
      <c r="S175" s="225"/>
      <c r="T175" s="225"/>
      <c r="U175" s="225"/>
      <c r="V175" s="225"/>
      <c r="W175" s="82">
        <v>0.0</v>
      </c>
      <c r="X175" s="230" t="s">
        <v>51</v>
      </c>
      <c r="Y175" s="213">
        <f t="shared" si="52"/>
        <v>0</v>
      </c>
      <c r="Z175" s="271">
        <f t="shared" si="53"/>
        <v>0</v>
      </c>
      <c r="AA175" s="86">
        <v>0.0</v>
      </c>
      <c r="AB175" s="271">
        <f t="shared" si="54"/>
        <v>0</v>
      </c>
      <c r="AC175" s="10"/>
      <c r="AD175" s="12"/>
      <c r="AE175" s="12"/>
      <c r="AF175" s="12"/>
      <c r="AG175" s="10"/>
      <c r="AH175" s="10">
        <f t="shared" si="58"/>
        <v>0</v>
      </c>
    </row>
    <row r="176" hidden="1" outlineLevel="1">
      <c r="A176" s="467"/>
      <c r="B176" s="468" t="s">
        <v>74</v>
      </c>
      <c r="C176" s="24" t="s">
        <v>386</v>
      </c>
      <c r="D176" s="221"/>
      <c r="E176" s="221" t="s">
        <v>387</v>
      </c>
      <c r="F176" s="221"/>
      <c r="G176" s="222" t="s">
        <v>379</v>
      </c>
      <c r="H176" s="469"/>
      <c r="I176" s="469"/>
      <c r="J176" s="469"/>
      <c r="K176" s="422" t="s">
        <v>81</v>
      </c>
      <c r="L176" s="226" t="s">
        <v>146</v>
      </c>
      <c r="M176" s="227"/>
      <c r="N176" s="228"/>
      <c r="O176" s="229"/>
      <c r="P176" s="66"/>
      <c r="Q176" s="29" t="s">
        <v>49</v>
      </c>
      <c r="R176" s="29"/>
      <c r="S176" s="225"/>
      <c r="T176" s="225"/>
      <c r="U176" s="225"/>
      <c r="V176" s="225"/>
      <c r="W176" s="82">
        <v>0.0</v>
      </c>
      <c r="X176" s="230" t="s">
        <v>51</v>
      </c>
      <c r="Y176" s="213">
        <f t="shared" si="52"/>
        <v>0</v>
      </c>
      <c r="Z176" s="271">
        <f t="shared" si="53"/>
        <v>0</v>
      </c>
      <c r="AA176" s="86">
        <v>0.0</v>
      </c>
      <c r="AB176" s="271">
        <f t="shared" si="54"/>
        <v>0</v>
      </c>
      <c r="AC176" s="10"/>
      <c r="AD176" s="12"/>
      <c r="AE176" s="12"/>
      <c r="AF176" s="12"/>
      <c r="AG176" s="10"/>
      <c r="AH176" s="10">
        <f t="shared" si="58"/>
        <v>0</v>
      </c>
    </row>
    <row r="177" ht="45.0" customHeight="1" collapsed="1">
      <c r="A177" s="480" t="str">
        <f>if(left(E177,11)="Общая сумма","Подитог","")</f>
        <v/>
      </c>
      <c r="B177" s="481"/>
      <c r="C177" s="60"/>
      <c r="D177" s="58"/>
      <c r="E177" s="58" t="s">
        <v>388</v>
      </c>
      <c r="F177" s="58"/>
      <c r="G177" s="59"/>
      <c r="H177" s="60"/>
      <c r="I177" s="60"/>
      <c r="J177" s="60"/>
      <c r="K177" s="60"/>
      <c r="L177" s="482"/>
      <c r="M177" s="483"/>
      <c r="N177" s="484"/>
      <c r="O177" s="485"/>
      <c r="P177" s="486"/>
      <c r="Q177" s="59"/>
      <c r="R177" s="59"/>
      <c r="S177" s="492"/>
      <c r="T177" s="492"/>
      <c r="U177" s="492"/>
      <c r="V177" s="492"/>
      <c r="W177" s="492"/>
      <c r="X177" s="493"/>
      <c r="Y177" s="70">
        <f t="shared" si="52"/>
        <v>0</v>
      </c>
      <c r="Z177" s="62">
        <f>sumif($Q178:$Q182,"Основа",Z178:Z182)</f>
        <v>412195.5</v>
      </c>
      <c r="AA177" s="494"/>
      <c r="AB177" s="62">
        <f t="shared" ref="AB177:AF177" si="59">sumif($Q178:$Q182,"Основа",AB178:AB182)</f>
        <v>412195.5</v>
      </c>
      <c r="AC177" s="62">
        <f t="shared" si="59"/>
        <v>0</v>
      </c>
      <c r="AD177" s="62">
        <f t="shared" si="59"/>
        <v>0</v>
      </c>
      <c r="AE177" s="62">
        <f t="shared" si="59"/>
        <v>0</v>
      </c>
      <c r="AF177" s="62">
        <f t="shared" si="59"/>
        <v>0</v>
      </c>
      <c r="AG177" s="62"/>
      <c r="AH177" s="62">
        <f>sumif($Q178:$Q182,"Основа",AH178:AH182)</f>
        <v>0</v>
      </c>
    </row>
    <row r="178" ht="45.0" hidden="1" customHeight="1" outlineLevel="1">
      <c r="A178" s="495" t="s">
        <v>355</v>
      </c>
      <c r="B178" s="27" t="s">
        <v>74</v>
      </c>
      <c r="C178" s="24"/>
      <c r="D178" s="2"/>
      <c r="E178" s="2" t="s">
        <v>389</v>
      </c>
      <c r="F178" s="2"/>
      <c r="G178" s="2" t="s">
        <v>390</v>
      </c>
      <c r="H178" s="93"/>
      <c r="I178" s="25"/>
      <c r="J178" s="27"/>
      <c r="K178" s="27" t="s">
        <v>81</v>
      </c>
      <c r="L178" s="496" t="s">
        <v>146</v>
      </c>
      <c r="M178" s="497"/>
      <c r="N178" s="498"/>
      <c r="O178" s="499"/>
      <c r="P178" s="500"/>
      <c r="Q178" s="31" t="s">
        <v>49</v>
      </c>
      <c r="R178" s="31" t="s">
        <v>358</v>
      </c>
      <c r="S178" s="30"/>
      <c r="T178" s="30"/>
      <c r="U178" s="30"/>
      <c r="V178" s="30"/>
      <c r="W178" s="30">
        <f t="shared" ref="W178:W179" si="60">824391/4</f>
        <v>206097.75</v>
      </c>
      <c r="X178" s="31" t="s">
        <v>51</v>
      </c>
      <c r="Y178" s="501">
        <f t="shared" si="52"/>
        <v>206097.75</v>
      </c>
      <c r="Z178" s="10">
        <f t="shared" ref="Z178:Z184" si="61">Y178*L178</f>
        <v>206097.75</v>
      </c>
      <c r="AA178" s="86">
        <v>0.0</v>
      </c>
      <c r="AB178" s="271">
        <f t="shared" ref="AB178:AB184" si="62">Z178-Z178*AA178</f>
        <v>206097.75</v>
      </c>
      <c r="AC178" s="10"/>
      <c r="AD178" s="12"/>
      <c r="AE178" s="12"/>
      <c r="AF178" s="12"/>
      <c r="AG178" s="10"/>
      <c r="AH178" s="10">
        <f t="shared" ref="AH178:AH180" si="63">AB178*0</f>
        <v>0</v>
      </c>
    </row>
    <row r="179" ht="45.0" hidden="1" customHeight="1" outlineLevel="1">
      <c r="A179" s="13" t="str">
        <f t="shared" ref="A179:A182" si="64">if(left(E179,11)="Общая сумма","Подитог","")</f>
        <v/>
      </c>
      <c r="B179" s="27" t="s">
        <v>89</v>
      </c>
      <c r="C179" s="24"/>
      <c r="D179" s="2"/>
      <c r="E179" s="2" t="s">
        <v>389</v>
      </c>
      <c r="F179" s="2"/>
      <c r="G179" s="2" t="s">
        <v>390</v>
      </c>
      <c r="H179" s="25"/>
      <c r="I179" s="24"/>
      <c r="J179" s="24"/>
      <c r="K179" s="27" t="s">
        <v>81</v>
      </c>
      <c r="L179" s="496" t="s">
        <v>146</v>
      </c>
      <c r="M179" s="497"/>
      <c r="N179" s="498"/>
      <c r="O179" s="499"/>
      <c r="P179" s="500"/>
      <c r="Q179" s="31" t="s">
        <v>49</v>
      </c>
      <c r="R179" s="31" t="s">
        <v>358</v>
      </c>
      <c r="S179" s="30"/>
      <c r="T179" s="30"/>
      <c r="U179" s="30"/>
      <c r="V179" s="30"/>
      <c r="W179" s="30">
        <f t="shared" si="60"/>
        <v>206097.75</v>
      </c>
      <c r="X179" s="31" t="s">
        <v>51</v>
      </c>
      <c r="Y179" s="501">
        <f t="shared" si="52"/>
        <v>206097.75</v>
      </c>
      <c r="Z179" s="10">
        <f t="shared" si="61"/>
        <v>206097.75</v>
      </c>
      <c r="AA179" s="86">
        <v>0.0</v>
      </c>
      <c r="AB179" s="271">
        <f t="shared" si="62"/>
        <v>206097.75</v>
      </c>
      <c r="AC179" s="10"/>
      <c r="AD179" s="12"/>
      <c r="AE179" s="12"/>
      <c r="AF179" s="12"/>
      <c r="AG179" s="10"/>
      <c r="AH179" s="10">
        <f t="shared" si="63"/>
        <v>0</v>
      </c>
    </row>
    <row r="180" ht="45.0" hidden="1" customHeight="1" outlineLevel="1">
      <c r="A180" s="13" t="str">
        <f t="shared" si="64"/>
        <v/>
      </c>
      <c r="B180" s="24"/>
      <c r="C180" s="24"/>
      <c r="D180" s="2"/>
      <c r="E180" s="2" t="s">
        <v>391</v>
      </c>
      <c r="F180" s="2"/>
      <c r="G180" s="2" t="s">
        <v>390</v>
      </c>
      <c r="H180" s="25"/>
      <c r="I180" s="24"/>
      <c r="J180" s="24"/>
      <c r="K180" s="27" t="s">
        <v>81</v>
      </c>
      <c r="L180" s="496" t="s">
        <v>146</v>
      </c>
      <c r="M180" s="423"/>
      <c r="N180" s="424"/>
      <c r="O180" s="425"/>
      <c r="P180" s="426"/>
      <c r="Q180" s="31" t="s">
        <v>133</v>
      </c>
      <c r="R180" s="31" t="s">
        <v>358</v>
      </c>
      <c r="S180" s="30"/>
      <c r="T180" s="30"/>
      <c r="U180" s="30"/>
      <c r="V180" s="30"/>
      <c r="W180" s="30">
        <v>1125240.0</v>
      </c>
      <c r="X180" s="31" t="s">
        <v>51</v>
      </c>
      <c r="Y180" s="501">
        <f t="shared" si="52"/>
        <v>1125240</v>
      </c>
      <c r="Z180" s="10">
        <f t="shared" si="61"/>
        <v>1125240</v>
      </c>
      <c r="AA180" s="86">
        <v>0.0</v>
      </c>
      <c r="AB180" s="271">
        <f t="shared" si="62"/>
        <v>1125240</v>
      </c>
      <c r="AC180" s="10"/>
      <c r="AD180" s="12"/>
      <c r="AE180" s="12"/>
      <c r="AF180" s="12"/>
      <c r="AG180" s="10"/>
      <c r="AH180" s="10">
        <f t="shared" si="63"/>
        <v>0</v>
      </c>
    </row>
    <row r="181" ht="88.5" hidden="1" customHeight="1" outlineLevel="1">
      <c r="A181" s="13" t="str">
        <f t="shared" si="64"/>
        <v/>
      </c>
      <c r="B181" s="468" t="s">
        <v>89</v>
      </c>
      <c r="C181" s="24"/>
      <c r="D181" s="2"/>
      <c r="E181" s="2" t="s">
        <v>392</v>
      </c>
      <c r="F181" s="2"/>
      <c r="G181" s="502" t="s">
        <v>393</v>
      </c>
      <c r="H181" s="26"/>
      <c r="I181" s="24"/>
      <c r="J181" s="503"/>
      <c r="K181" s="27" t="s">
        <v>81</v>
      </c>
      <c r="L181" s="496" t="s">
        <v>146</v>
      </c>
      <c r="M181" s="423"/>
      <c r="N181" s="424"/>
      <c r="O181" s="425"/>
      <c r="P181" s="426"/>
      <c r="Q181" s="31" t="s">
        <v>133</v>
      </c>
      <c r="R181" s="29" t="s">
        <v>72</v>
      </c>
      <c r="S181" s="30"/>
      <c r="T181" s="30"/>
      <c r="U181" s="30"/>
      <c r="V181" s="30"/>
      <c r="W181" s="30">
        <v>0.0</v>
      </c>
      <c r="X181" s="31" t="s">
        <v>51</v>
      </c>
      <c r="Y181" s="213">
        <f t="shared" si="52"/>
        <v>0</v>
      </c>
      <c r="Z181" s="10">
        <f t="shared" si="61"/>
        <v>0</v>
      </c>
      <c r="AA181" s="86">
        <v>0.05</v>
      </c>
      <c r="AB181" s="271">
        <f t="shared" si="62"/>
        <v>0</v>
      </c>
      <c r="AC181" s="10"/>
      <c r="AD181" s="12"/>
      <c r="AE181" s="12"/>
      <c r="AF181" s="12"/>
      <c r="AG181" s="10"/>
      <c r="AH181" s="10">
        <f t="shared" ref="AH181:AH184" si="65">AB181*0.1</f>
        <v>0</v>
      </c>
    </row>
    <row r="182" ht="108.75" hidden="1" customHeight="1" outlineLevel="1">
      <c r="A182" s="13" t="str">
        <f t="shared" si="64"/>
        <v/>
      </c>
      <c r="B182" s="468" t="s">
        <v>74</v>
      </c>
      <c r="C182" s="24"/>
      <c r="D182" s="2"/>
      <c r="E182" s="2" t="s">
        <v>392</v>
      </c>
      <c r="F182" s="2"/>
      <c r="G182" s="502" t="s">
        <v>394</v>
      </c>
      <c r="H182" s="26"/>
      <c r="I182" s="24"/>
      <c r="J182" s="503"/>
      <c r="K182" s="27" t="s">
        <v>81</v>
      </c>
      <c r="L182" s="496" t="s">
        <v>146</v>
      </c>
      <c r="M182" s="423"/>
      <c r="N182" s="424"/>
      <c r="O182" s="425"/>
      <c r="P182" s="426"/>
      <c r="Q182" s="31" t="s">
        <v>133</v>
      </c>
      <c r="R182" s="29" t="s">
        <v>72</v>
      </c>
      <c r="S182" s="30"/>
      <c r="T182" s="30"/>
      <c r="U182" s="30"/>
      <c r="V182" s="30"/>
      <c r="W182" s="30">
        <v>0.0</v>
      </c>
      <c r="X182" s="31" t="s">
        <v>51</v>
      </c>
      <c r="Y182" s="213">
        <f t="shared" si="52"/>
        <v>0</v>
      </c>
      <c r="Z182" s="10">
        <f t="shared" si="61"/>
        <v>0</v>
      </c>
      <c r="AA182" s="86">
        <v>0.05</v>
      </c>
      <c r="AB182" s="271">
        <f t="shared" si="62"/>
        <v>0</v>
      </c>
      <c r="AC182" s="10"/>
      <c r="AD182" s="12"/>
      <c r="AE182" s="12"/>
      <c r="AF182" s="12"/>
      <c r="AG182" s="10"/>
      <c r="AH182" s="10">
        <f t="shared" si="65"/>
        <v>0</v>
      </c>
    </row>
    <row r="183" ht="94.5" hidden="1" customHeight="1" outlineLevel="1">
      <c r="A183" s="13"/>
      <c r="B183" s="468" t="s">
        <v>82</v>
      </c>
      <c r="C183" s="24"/>
      <c r="D183" s="2"/>
      <c r="E183" s="2" t="s">
        <v>392</v>
      </c>
      <c r="F183" s="2"/>
      <c r="G183" s="502" t="s">
        <v>395</v>
      </c>
      <c r="H183" s="26"/>
      <c r="I183" s="24"/>
      <c r="J183" s="503"/>
      <c r="K183" s="27" t="s">
        <v>81</v>
      </c>
      <c r="L183" s="496" t="s">
        <v>218</v>
      </c>
      <c r="M183" s="423"/>
      <c r="N183" s="424"/>
      <c r="O183" s="425"/>
      <c r="P183" s="426"/>
      <c r="Q183" s="31" t="s">
        <v>133</v>
      </c>
      <c r="R183" s="29" t="s">
        <v>72</v>
      </c>
      <c r="S183" s="30"/>
      <c r="T183" s="30"/>
      <c r="U183" s="30"/>
      <c r="V183" s="30"/>
      <c r="W183" s="30">
        <v>0.0</v>
      </c>
      <c r="X183" s="31" t="s">
        <v>51</v>
      </c>
      <c r="Y183" s="213">
        <f t="shared" si="52"/>
        <v>0</v>
      </c>
      <c r="Z183" s="10">
        <f t="shared" si="61"/>
        <v>0</v>
      </c>
      <c r="AA183" s="86">
        <v>0.05</v>
      </c>
      <c r="AB183" s="271">
        <f t="shared" si="62"/>
        <v>0</v>
      </c>
      <c r="AC183" s="10"/>
      <c r="AD183" s="12"/>
      <c r="AE183" s="12"/>
      <c r="AF183" s="12"/>
      <c r="AG183" s="10"/>
      <c r="AH183" s="10">
        <f t="shared" si="65"/>
        <v>0</v>
      </c>
    </row>
    <row r="184" ht="97.5" hidden="1" customHeight="1" outlineLevel="1">
      <c r="A184" s="13"/>
      <c r="B184" s="468" t="s">
        <v>96</v>
      </c>
      <c r="C184" s="24"/>
      <c r="D184" s="2"/>
      <c r="E184" s="2" t="s">
        <v>392</v>
      </c>
      <c r="F184" s="2"/>
      <c r="G184" s="502" t="s">
        <v>396</v>
      </c>
      <c r="H184" s="26"/>
      <c r="I184" s="24"/>
      <c r="J184" s="503"/>
      <c r="K184" s="27" t="s">
        <v>81</v>
      </c>
      <c r="L184" s="496" t="s">
        <v>146</v>
      </c>
      <c r="M184" s="423"/>
      <c r="N184" s="424"/>
      <c r="O184" s="425"/>
      <c r="P184" s="426"/>
      <c r="Q184" s="31" t="s">
        <v>133</v>
      </c>
      <c r="R184" s="29" t="s">
        <v>72</v>
      </c>
      <c r="S184" s="30"/>
      <c r="T184" s="30"/>
      <c r="U184" s="30"/>
      <c r="V184" s="30"/>
      <c r="W184" s="30">
        <v>0.0</v>
      </c>
      <c r="X184" s="31" t="s">
        <v>51</v>
      </c>
      <c r="Y184" s="213">
        <f t="shared" si="52"/>
        <v>0</v>
      </c>
      <c r="Z184" s="10">
        <f t="shared" si="61"/>
        <v>0</v>
      </c>
      <c r="AA184" s="86">
        <v>0.05</v>
      </c>
      <c r="AB184" s="271">
        <f t="shared" si="62"/>
        <v>0</v>
      </c>
      <c r="AC184" s="10"/>
      <c r="AD184" s="12"/>
      <c r="AE184" s="12"/>
      <c r="AF184" s="12"/>
      <c r="AG184" s="10"/>
      <c r="AH184" s="10">
        <f t="shared" si="65"/>
        <v>0</v>
      </c>
    </row>
    <row r="185" ht="45.0" customHeight="1" collapsed="1">
      <c r="A185" s="480" t="str">
        <f>if(left(E185,11)="Общая сумма","Подитог","")</f>
        <v/>
      </c>
      <c r="B185" s="481"/>
      <c r="C185" s="60"/>
      <c r="D185" s="67"/>
      <c r="E185" s="67" t="s">
        <v>397</v>
      </c>
      <c r="F185" s="67"/>
      <c r="G185" s="59"/>
      <c r="H185" s="60"/>
      <c r="I185" s="60"/>
      <c r="J185" s="60"/>
      <c r="K185" s="60"/>
      <c r="L185" s="482"/>
      <c r="M185" s="483"/>
      <c r="N185" s="484"/>
      <c r="O185" s="485"/>
      <c r="P185" s="486"/>
      <c r="Q185" s="59"/>
      <c r="R185" s="59"/>
      <c r="S185" s="487"/>
      <c r="T185" s="487"/>
      <c r="U185" s="487"/>
      <c r="V185" s="487"/>
      <c r="W185" s="487"/>
      <c r="X185" s="60"/>
      <c r="Y185" s="70">
        <f t="shared" si="52"/>
        <v>0</v>
      </c>
      <c r="Z185" s="62">
        <f>SUMif($Q186,"Основа",Z186)</f>
        <v>457500</v>
      </c>
      <c r="AA185" s="504"/>
      <c r="AB185" s="62">
        <f>SUMif($Q186,"Основа",AB186)</f>
        <v>320250</v>
      </c>
      <c r="AC185" s="62">
        <f t="shared" ref="AC185:AF185" si="66">SUM(AC186)</f>
        <v>0</v>
      </c>
      <c r="AD185" s="62">
        <f t="shared" si="66"/>
        <v>0</v>
      </c>
      <c r="AE185" s="62">
        <f t="shared" si="66"/>
        <v>0</v>
      </c>
      <c r="AF185" s="62">
        <f t="shared" si="66"/>
        <v>0</v>
      </c>
      <c r="AG185" s="62"/>
      <c r="AH185" s="62">
        <f>SUMif($Q186,"Основа",AH186)</f>
        <v>32025</v>
      </c>
    </row>
    <row r="186" ht="45.0" hidden="1" customHeight="1" outlineLevel="1">
      <c r="A186" s="495" t="s">
        <v>355</v>
      </c>
      <c r="B186" s="24"/>
      <c r="C186" s="24"/>
      <c r="D186" s="2"/>
      <c r="E186" s="2" t="s">
        <v>398</v>
      </c>
      <c r="F186" s="215" t="s">
        <v>399</v>
      </c>
      <c r="G186" s="75" t="s">
        <v>399</v>
      </c>
      <c r="H186" s="93"/>
      <c r="I186" s="25"/>
      <c r="J186" s="74" t="s">
        <v>400</v>
      </c>
      <c r="K186" s="27"/>
      <c r="L186" s="496"/>
      <c r="M186" s="497"/>
      <c r="N186" s="498"/>
      <c r="O186" s="499"/>
      <c r="P186" s="500"/>
      <c r="Q186" s="30" t="s">
        <v>49</v>
      </c>
      <c r="R186" s="31" t="s">
        <v>72</v>
      </c>
      <c r="S186" s="30"/>
      <c r="T186" s="30"/>
      <c r="U186" s="30"/>
      <c r="V186" s="30"/>
      <c r="W186" s="30">
        <v>457500.0</v>
      </c>
      <c r="X186" s="31" t="s">
        <v>51</v>
      </c>
      <c r="Y186" s="213">
        <f t="shared" si="52"/>
        <v>457500</v>
      </c>
      <c r="Z186" s="33">
        <f>Y186</f>
        <v>457500</v>
      </c>
      <c r="AA186" s="86">
        <v>0.3</v>
      </c>
      <c r="AB186" s="85">
        <f>Z186-Z186*AA186</f>
        <v>320250</v>
      </c>
      <c r="AC186" s="10"/>
      <c r="AD186" s="12"/>
      <c r="AE186" s="12"/>
      <c r="AF186" s="12"/>
      <c r="AG186" s="10"/>
      <c r="AH186" s="10">
        <f>AB186*0.1</f>
        <v>32025</v>
      </c>
    </row>
    <row r="187" ht="45.0" customHeight="1" collapsed="1">
      <c r="A187" s="480" t="str">
        <f>if(left(E187,11)="Общая сумма","Подитог","")</f>
        <v/>
      </c>
      <c r="B187" s="481"/>
      <c r="C187" s="60"/>
      <c r="D187" s="58"/>
      <c r="E187" s="58" t="s">
        <v>401</v>
      </c>
      <c r="F187" s="58"/>
      <c r="G187" s="59"/>
      <c r="H187" s="60"/>
      <c r="I187" s="60"/>
      <c r="J187" s="60"/>
      <c r="K187" s="60"/>
      <c r="L187" s="482"/>
      <c r="M187" s="483"/>
      <c r="N187" s="484"/>
      <c r="O187" s="485"/>
      <c r="P187" s="486"/>
      <c r="Q187" s="59"/>
      <c r="R187" s="59"/>
      <c r="S187" s="487"/>
      <c r="T187" s="487"/>
      <c r="U187" s="487"/>
      <c r="V187" s="487"/>
      <c r="W187" s="487"/>
      <c r="X187" s="60"/>
      <c r="Y187" s="70">
        <f t="shared" si="52"/>
        <v>0</v>
      </c>
      <c r="Z187" s="62">
        <f>SUMif($Q188:$Q199,"Основа",Z188:Z199)</f>
        <v>375624.9</v>
      </c>
      <c r="AA187" s="504"/>
      <c r="AB187" s="62">
        <f t="shared" ref="AB187:AF187" si="67">SUMif($Q188:$Q199,"Основа",AB188:AB199)</f>
        <v>338062.41</v>
      </c>
      <c r="AC187" s="62">
        <f t="shared" si="67"/>
        <v>0</v>
      </c>
      <c r="AD187" s="62">
        <f t="shared" si="67"/>
        <v>0</v>
      </c>
      <c r="AE187" s="62">
        <f t="shared" si="67"/>
        <v>0</v>
      </c>
      <c r="AF187" s="62">
        <f t="shared" si="67"/>
        <v>0</v>
      </c>
      <c r="AG187" s="62"/>
      <c r="AH187" s="62">
        <f>SUMif($Q188:$Q199,"Основа",AH188:AH199)</f>
        <v>33806.241</v>
      </c>
    </row>
    <row r="188" ht="45.0" hidden="1" customHeight="1" outlineLevel="1">
      <c r="A188" s="495" t="s">
        <v>355</v>
      </c>
      <c r="B188" s="27" t="s">
        <v>89</v>
      </c>
      <c r="C188" s="24"/>
      <c r="D188" s="2"/>
      <c r="E188" s="2" t="s">
        <v>402</v>
      </c>
      <c r="F188" s="215" t="s">
        <v>403</v>
      </c>
      <c r="G188" s="75" t="s">
        <v>403</v>
      </c>
      <c r="H188" s="93"/>
      <c r="I188" s="25"/>
      <c r="J188" s="27"/>
      <c r="K188" s="27" t="s">
        <v>81</v>
      </c>
      <c r="L188" s="496" t="s">
        <v>146</v>
      </c>
      <c r="M188" s="497"/>
      <c r="N188" s="498"/>
      <c r="O188" s="499"/>
      <c r="P188" s="500"/>
      <c r="Q188" s="31" t="s">
        <v>49</v>
      </c>
      <c r="R188" s="31" t="s">
        <v>358</v>
      </c>
      <c r="S188" s="95" t="s">
        <v>81</v>
      </c>
      <c r="T188" s="505">
        <v>1.0</v>
      </c>
      <c r="U188" s="95" t="s">
        <v>49</v>
      </c>
      <c r="V188" s="2" t="s">
        <v>358</v>
      </c>
      <c r="W188" s="30">
        <f>92049</f>
        <v>92049</v>
      </c>
      <c r="X188" s="31" t="s">
        <v>51</v>
      </c>
      <c r="Y188" s="501">
        <f t="shared" si="52"/>
        <v>92049</v>
      </c>
      <c r="Z188" s="33">
        <f t="shared" ref="Z188:Z199" si="68">L188*Y188</f>
        <v>92049</v>
      </c>
      <c r="AA188" s="86">
        <v>0.1</v>
      </c>
      <c r="AB188" s="85">
        <f t="shared" ref="AB188:AB199" si="69">Z188-Z188*AA188</f>
        <v>82844.1</v>
      </c>
      <c r="AC188" s="10"/>
      <c r="AD188" s="12"/>
      <c r="AE188" s="12"/>
      <c r="AF188" s="12"/>
      <c r="AG188" s="10"/>
      <c r="AH188" s="10">
        <f t="shared" ref="AH188:AH200" si="70">AB188*0.1</f>
        <v>8284.41</v>
      </c>
    </row>
    <row r="189" ht="45.0" hidden="1" customHeight="1" outlineLevel="1">
      <c r="A189" s="495"/>
      <c r="B189" s="27" t="s">
        <v>89</v>
      </c>
      <c r="C189" s="24"/>
      <c r="D189" s="2"/>
      <c r="E189" s="2" t="s">
        <v>404</v>
      </c>
      <c r="F189" s="215" t="s">
        <v>403</v>
      </c>
      <c r="G189" s="75" t="s">
        <v>403</v>
      </c>
      <c r="H189" s="93"/>
      <c r="I189" s="25"/>
      <c r="J189" s="27"/>
      <c r="K189" s="27" t="s">
        <v>81</v>
      </c>
      <c r="L189" s="496" t="s">
        <v>146</v>
      </c>
      <c r="M189" s="497"/>
      <c r="N189" s="498"/>
      <c r="O189" s="499"/>
      <c r="P189" s="500"/>
      <c r="Q189" s="31" t="s">
        <v>133</v>
      </c>
      <c r="R189" s="31" t="s">
        <v>358</v>
      </c>
      <c r="S189" s="95" t="s">
        <v>81</v>
      </c>
      <c r="T189" s="505">
        <v>1.0</v>
      </c>
      <c r="U189" s="95" t="s">
        <v>133</v>
      </c>
      <c r="V189" s="2" t="s">
        <v>358</v>
      </c>
      <c r="W189" s="30">
        <v>87276.0</v>
      </c>
      <c r="X189" s="31" t="s">
        <v>51</v>
      </c>
      <c r="Y189" s="501">
        <f t="shared" si="52"/>
        <v>87276</v>
      </c>
      <c r="Z189" s="33">
        <f t="shared" si="68"/>
        <v>87276</v>
      </c>
      <c r="AA189" s="86">
        <v>0.1</v>
      </c>
      <c r="AB189" s="85">
        <f t="shared" si="69"/>
        <v>78548.4</v>
      </c>
      <c r="AC189" s="10"/>
      <c r="AD189" s="12"/>
      <c r="AE189" s="12"/>
      <c r="AF189" s="12"/>
      <c r="AG189" s="10"/>
      <c r="AH189" s="10">
        <f t="shared" si="70"/>
        <v>7854.84</v>
      </c>
    </row>
    <row r="190" ht="45.0" hidden="1" customHeight="1" outlineLevel="1">
      <c r="A190" s="495"/>
      <c r="B190" s="27" t="s">
        <v>89</v>
      </c>
      <c r="C190" s="24"/>
      <c r="D190" s="2"/>
      <c r="E190" s="2" t="s">
        <v>405</v>
      </c>
      <c r="F190" s="215" t="s">
        <v>403</v>
      </c>
      <c r="G190" s="75" t="s">
        <v>403</v>
      </c>
      <c r="H190" s="93"/>
      <c r="I190" s="25"/>
      <c r="J190" s="27"/>
      <c r="K190" s="27" t="s">
        <v>81</v>
      </c>
      <c r="L190" s="496" t="s">
        <v>146</v>
      </c>
      <c r="M190" s="497"/>
      <c r="N190" s="498"/>
      <c r="O190" s="499"/>
      <c r="P190" s="500"/>
      <c r="Q190" s="31" t="s">
        <v>49</v>
      </c>
      <c r="R190" s="31" t="s">
        <v>358</v>
      </c>
      <c r="S190" s="95" t="s">
        <v>81</v>
      </c>
      <c r="T190" s="505">
        <v>1.0</v>
      </c>
      <c r="U190" s="95" t="s">
        <v>49</v>
      </c>
      <c r="V190" s="2" t="s">
        <v>358</v>
      </c>
      <c r="W190" s="30">
        <v>12524.0</v>
      </c>
      <c r="X190" s="31" t="s">
        <v>51</v>
      </c>
      <c r="Y190" s="501">
        <f t="shared" si="52"/>
        <v>12524</v>
      </c>
      <c r="Z190" s="33">
        <f t="shared" si="68"/>
        <v>12524</v>
      </c>
      <c r="AA190" s="86">
        <v>0.1</v>
      </c>
      <c r="AB190" s="85">
        <f t="shared" si="69"/>
        <v>11271.6</v>
      </c>
      <c r="AC190" s="10"/>
      <c r="AD190" s="12"/>
      <c r="AE190" s="12"/>
      <c r="AF190" s="12"/>
      <c r="AG190" s="10"/>
      <c r="AH190" s="10">
        <f t="shared" si="70"/>
        <v>1127.16</v>
      </c>
    </row>
    <row r="191" ht="45.0" hidden="1" customHeight="1" outlineLevel="1">
      <c r="A191" s="13" t="str">
        <f t="shared" ref="A191:A192" si="71">if(left(E191,11)="Общая сумма","Подитог","")</f>
        <v/>
      </c>
      <c r="B191" s="27" t="s">
        <v>74</v>
      </c>
      <c r="C191" s="24"/>
      <c r="D191" s="2"/>
      <c r="E191" s="2" t="s">
        <v>406</v>
      </c>
      <c r="F191" s="215" t="s">
        <v>403</v>
      </c>
      <c r="G191" s="75" t="s">
        <v>403</v>
      </c>
      <c r="H191" s="25"/>
      <c r="I191" s="24"/>
      <c r="J191" s="24"/>
      <c r="K191" s="27" t="s">
        <v>81</v>
      </c>
      <c r="L191" s="496" t="s">
        <v>146</v>
      </c>
      <c r="M191" s="423"/>
      <c r="N191" s="424"/>
      <c r="O191" s="425"/>
      <c r="P191" s="426"/>
      <c r="Q191" s="31" t="s">
        <v>49</v>
      </c>
      <c r="R191" s="31" t="s">
        <v>358</v>
      </c>
      <c r="S191" s="95" t="s">
        <v>81</v>
      </c>
      <c r="T191" s="505">
        <v>1.0</v>
      </c>
      <c r="U191" s="95" t="s">
        <v>49</v>
      </c>
      <c r="V191" s="2" t="s">
        <v>358</v>
      </c>
      <c r="W191" s="30">
        <v>33016.0</v>
      </c>
      <c r="X191" s="31" t="s">
        <v>51</v>
      </c>
      <c r="Y191" s="501">
        <f t="shared" si="52"/>
        <v>33016</v>
      </c>
      <c r="Z191" s="33">
        <f t="shared" si="68"/>
        <v>33016</v>
      </c>
      <c r="AA191" s="86">
        <v>0.1</v>
      </c>
      <c r="AB191" s="85">
        <f t="shared" si="69"/>
        <v>29714.4</v>
      </c>
      <c r="AC191" s="10"/>
      <c r="AD191" s="12"/>
      <c r="AE191" s="12"/>
      <c r="AF191" s="12"/>
      <c r="AG191" s="10"/>
      <c r="AH191" s="10">
        <f t="shared" si="70"/>
        <v>2971.44</v>
      </c>
    </row>
    <row r="192" ht="45.0" hidden="1" customHeight="1" outlineLevel="1">
      <c r="A192" s="13" t="str">
        <f t="shared" si="71"/>
        <v/>
      </c>
      <c r="B192" s="27" t="s">
        <v>74</v>
      </c>
      <c r="C192" s="24"/>
      <c r="D192" s="2"/>
      <c r="E192" s="2" t="s">
        <v>404</v>
      </c>
      <c r="F192" s="215" t="s">
        <v>403</v>
      </c>
      <c r="G192" s="75" t="s">
        <v>403</v>
      </c>
      <c r="H192" s="26"/>
      <c r="I192" s="24"/>
      <c r="J192" s="503"/>
      <c r="K192" s="27" t="s">
        <v>81</v>
      </c>
      <c r="L192" s="496" t="s">
        <v>146</v>
      </c>
      <c r="M192" s="423"/>
      <c r="N192" s="424"/>
      <c r="O192" s="425"/>
      <c r="P192" s="426"/>
      <c r="Q192" s="31" t="s">
        <v>133</v>
      </c>
      <c r="R192" s="31" t="s">
        <v>358</v>
      </c>
      <c r="S192" s="95" t="s">
        <v>81</v>
      </c>
      <c r="T192" s="505">
        <v>1.0</v>
      </c>
      <c r="U192" s="95" t="s">
        <v>133</v>
      </c>
      <c r="V192" s="2" t="s">
        <v>358</v>
      </c>
      <c r="W192" s="30">
        <v>76974.0</v>
      </c>
      <c r="X192" s="31" t="s">
        <v>51</v>
      </c>
      <c r="Y192" s="501">
        <f t="shared" si="52"/>
        <v>76974</v>
      </c>
      <c r="Z192" s="33">
        <f t="shared" si="68"/>
        <v>76974</v>
      </c>
      <c r="AA192" s="86">
        <v>0.1</v>
      </c>
      <c r="AB192" s="85">
        <f t="shared" si="69"/>
        <v>69276.6</v>
      </c>
      <c r="AC192" s="10"/>
      <c r="AD192" s="12"/>
      <c r="AE192" s="12"/>
      <c r="AF192" s="12"/>
      <c r="AG192" s="10"/>
      <c r="AH192" s="10">
        <f t="shared" si="70"/>
        <v>6927.66</v>
      </c>
    </row>
    <row r="193" ht="45.0" hidden="1" customHeight="1" outlineLevel="1">
      <c r="A193" s="13"/>
      <c r="B193" s="27" t="s">
        <v>74</v>
      </c>
      <c r="C193" s="24"/>
      <c r="D193" s="2"/>
      <c r="E193" s="2" t="s">
        <v>405</v>
      </c>
      <c r="F193" s="215" t="s">
        <v>403</v>
      </c>
      <c r="G193" s="75" t="s">
        <v>403</v>
      </c>
      <c r="H193" s="26"/>
      <c r="I193" s="24"/>
      <c r="J193" s="503"/>
      <c r="K193" s="27" t="s">
        <v>81</v>
      </c>
      <c r="L193" s="496" t="s">
        <v>146</v>
      </c>
      <c r="M193" s="423"/>
      <c r="N193" s="424"/>
      <c r="O193" s="425"/>
      <c r="P193" s="426"/>
      <c r="Q193" s="31" t="s">
        <v>49</v>
      </c>
      <c r="R193" s="31" t="s">
        <v>358</v>
      </c>
      <c r="S193" s="95" t="s">
        <v>81</v>
      </c>
      <c r="T193" s="505">
        <v>1.0</v>
      </c>
      <c r="U193" s="95" t="s">
        <v>49</v>
      </c>
      <c r="V193" s="2" t="s">
        <v>358</v>
      </c>
      <c r="W193" s="30">
        <v>13800.0</v>
      </c>
      <c r="X193" s="31" t="s">
        <v>51</v>
      </c>
      <c r="Y193" s="501">
        <f t="shared" si="52"/>
        <v>13800</v>
      </c>
      <c r="Z193" s="33">
        <f t="shared" si="68"/>
        <v>13800</v>
      </c>
      <c r="AA193" s="86">
        <v>0.1</v>
      </c>
      <c r="AB193" s="85">
        <f t="shared" si="69"/>
        <v>12420</v>
      </c>
      <c r="AC193" s="10"/>
      <c r="AD193" s="12"/>
      <c r="AE193" s="12"/>
      <c r="AF193" s="12"/>
      <c r="AG193" s="10"/>
      <c r="AH193" s="10">
        <f t="shared" si="70"/>
        <v>1242</v>
      </c>
    </row>
    <row r="194" ht="45.0" hidden="1" customHeight="1" outlineLevel="1">
      <c r="A194" s="13"/>
      <c r="B194" s="468" t="s">
        <v>82</v>
      </c>
      <c r="C194" s="24"/>
      <c r="D194" s="2"/>
      <c r="E194" s="2" t="s">
        <v>407</v>
      </c>
      <c r="F194" s="215" t="s">
        <v>403</v>
      </c>
      <c r="G194" s="75" t="s">
        <v>403</v>
      </c>
      <c r="H194" s="26"/>
      <c r="I194" s="24"/>
      <c r="J194" s="503"/>
      <c r="K194" s="27" t="s">
        <v>81</v>
      </c>
      <c r="L194" s="496" t="s">
        <v>218</v>
      </c>
      <c r="M194" s="423"/>
      <c r="N194" s="424"/>
      <c r="O194" s="425"/>
      <c r="P194" s="426"/>
      <c r="Q194" s="31" t="s">
        <v>49</v>
      </c>
      <c r="R194" s="31" t="s">
        <v>358</v>
      </c>
      <c r="S194" s="95" t="s">
        <v>81</v>
      </c>
      <c r="T194" s="505">
        <v>2.0</v>
      </c>
      <c r="U194" s="95" t="s">
        <v>49</v>
      </c>
      <c r="V194" s="2" t="s">
        <v>358</v>
      </c>
      <c r="W194" s="30">
        <v>58080.85</v>
      </c>
      <c r="X194" s="31" t="s">
        <v>51</v>
      </c>
      <c r="Y194" s="501">
        <f t="shared" si="52"/>
        <v>58080.85</v>
      </c>
      <c r="Z194" s="33">
        <f t="shared" si="68"/>
        <v>116161.7</v>
      </c>
      <c r="AA194" s="86">
        <v>0.1</v>
      </c>
      <c r="AB194" s="85">
        <f t="shared" si="69"/>
        <v>104545.53</v>
      </c>
      <c r="AC194" s="10"/>
      <c r="AD194" s="12"/>
      <c r="AE194" s="12"/>
      <c r="AF194" s="12"/>
      <c r="AG194" s="10"/>
      <c r="AH194" s="10">
        <f t="shared" si="70"/>
        <v>10454.553</v>
      </c>
    </row>
    <row r="195" ht="45.0" hidden="1" customHeight="1" outlineLevel="1">
      <c r="A195" s="13"/>
      <c r="B195" s="468" t="s">
        <v>82</v>
      </c>
      <c r="C195" s="24"/>
      <c r="D195" s="2"/>
      <c r="E195" s="2" t="s">
        <v>404</v>
      </c>
      <c r="F195" s="215" t="s">
        <v>403</v>
      </c>
      <c r="G195" s="75" t="s">
        <v>403</v>
      </c>
      <c r="H195" s="26"/>
      <c r="I195" s="24"/>
      <c r="J195" s="503"/>
      <c r="K195" s="27" t="s">
        <v>81</v>
      </c>
      <c r="L195" s="496" t="s">
        <v>218</v>
      </c>
      <c r="M195" s="423"/>
      <c r="N195" s="424"/>
      <c r="O195" s="425"/>
      <c r="P195" s="426"/>
      <c r="Q195" s="31" t="s">
        <v>133</v>
      </c>
      <c r="R195" s="31" t="s">
        <v>358</v>
      </c>
      <c r="S195" s="95" t="s">
        <v>81</v>
      </c>
      <c r="T195" s="505">
        <v>2.0</v>
      </c>
      <c r="U195" s="95" t="s">
        <v>133</v>
      </c>
      <c r="V195" s="2" t="s">
        <v>358</v>
      </c>
      <c r="W195" s="30">
        <v>80219.0</v>
      </c>
      <c r="X195" s="31" t="s">
        <v>51</v>
      </c>
      <c r="Y195" s="501">
        <f t="shared" si="52"/>
        <v>80219</v>
      </c>
      <c r="Z195" s="33">
        <f t="shared" si="68"/>
        <v>160438</v>
      </c>
      <c r="AA195" s="86">
        <v>0.1</v>
      </c>
      <c r="AB195" s="85">
        <f t="shared" si="69"/>
        <v>144394.2</v>
      </c>
      <c r="AC195" s="10"/>
      <c r="AD195" s="12"/>
      <c r="AE195" s="12"/>
      <c r="AF195" s="12"/>
      <c r="AG195" s="10"/>
      <c r="AH195" s="10">
        <f t="shared" si="70"/>
        <v>14439.42</v>
      </c>
    </row>
    <row r="196" ht="45.0" hidden="1" customHeight="1" outlineLevel="1">
      <c r="A196" s="13"/>
      <c r="B196" s="468" t="s">
        <v>82</v>
      </c>
      <c r="C196" s="24"/>
      <c r="D196" s="2"/>
      <c r="E196" s="2" t="s">
        <v>405</v>
      </c>
      <c r="F196" s="215" t="s">
        <v>403</v>
      </c>
      <c r="G196" s="75" t="s">
        <v>403</v>
      </c>
      <c r="H196" s="26"/>
      <c r="I196" s="24"/>
      <c r="J196" s="503"/>
      <c r="K196" s="27" t="s">
        <v>81</v>
      </c>
      <c r="L196" s="496" t="s">
        <v>218</v>
      </c>
      <c r="M196" s="423"/>
      <c r="N196" s="424"/>
      <c r="O196" s="425"/>
      <c r="P196" s="426"/>
      <c r="Q196" s="31" t="s">
        <v>49</v>
      </c>
      <c r="R196" s="31" t="s">
        <v>358</v>
      </c>
      <c r="S196" s="95" t="s">
        <v>81</v>
      </c>
      <c r="T196" s="505">
        <v>2.0</v>
      </c>
      <c r="U196" s="95" t="s">
        <v>49</v>
      </c>
      <c r="V196" s="2" t="s">
        <v>358</v>
      </c>
      <c r="W196" s="30">
        <v>14342.0</v>
      </c>
      <c r="X196" s="31" t="s">
        <v>51</v>
      </c>
      <c r="Y196" s="501">
        <f t="shared" si="52"/>
        <v>14342</v>
      </c>
      <c r="Z196" s="33">
        <f t="shared" si="68"/>
        <v>28684</v>
      </c>
      <c r="AA196" s="86">
        <v>0.1</v>
      </c>
      <c r="AB196" s="85">
        <f t="shared" si="69"/>
        <v>25815.6</v>
      </c>
      <c r="AC196" s="10"/>
      <c r="AD196" s="12"/>
      <c r="AE196" s="12"/>
      <c r="AF196" s="12"/>
      <c r="AG196" s="10"/>
      <c r="AH196" s="10">
        <f t="shared" si="70"/>
        <v>2581.56</v>
      </c>
    </row>
    <row r="197" ht="45.0" hidden="1" customHeight="1" outlineLevel="1">
      <c r="A197" s="13"/>
      <c r="B197" s="468" t="s">
        <v>96</v>
      </c>
      <c r="C197" s="24"/>
      <c r="D197" s="2"/>
      <c r="E197" s="2" t="s">
        <v>407</v>
      </c>
      <c r="F197" s="215" t="s">
        <v>403</v>
      </c>
      <c r="G197" s="75" t="s">
        <v>403</v>
      </c>
      <c r="H197" s="26"/>
      <c r="I197" s="24"/>
      <c r="J197" s="503"/>
      <c r="K197" s="27" t="s">
        <v>81</v>
      </c>
      <c r="L197" s="496" t="s">
        <v>146</v>
      </c>
      <c r="M197" s="423"/>
      <c r="N197" s="424"/>
      <c r="O197" s="425"/>
      <c r="P197" s="426"/>
      <c r="Q197" s="31" t="s">
        <v>49</v>
      </c>
      <c r="R197" s="31" t="s">
        <v>358</v>
      </c>
      <c r="S197" s="95" t="s">
        <v>81</v>
      </c>
      <c r="T197" s="505">
        <v>1.0</v>
      </c>
      <c r="U197" s="95" t="s">
        <v>49</v>
      </c>
      <c r="V197" s="2" t="s">
        <v>358</v>
      </c>
      <c r="W197" s="30">
        <v>63782.2</v>
      </c>
      <c r="X197" s="31" t="s">
        <v>51</v>
      </c>
      <c r="Y197" s="501">
        <f t="shared" si="52"/>
        <v>63782.2</v>
      </c>
      <c r="Z197" s="33">
        <f t="shared" si="68"/>
        <v>63782.2</v>
      </c>
      <c r="AA197" s="86">
        <v>0.1</v>
      </c>
      <c r="AB197" s="85">
        <f t="shared" si="69"/>
        <v>57403.98</v>
      </c>
      <c r="AC197" s="10"/>
      <c r="AD197" s="12"/>
      <c r="AE197" s="12"/>
      <c r="AF197" s="12"/>
      <c r="AG197" s="10"/>
      <c r="AH197" s="10">
        <f t="shared" si="70"/>
        <v>5740.398</v>
      </c>
    </row>
    <row r="198" ht="45.0" hidden="1" customHeight="1" outlineLevel="1">
      <c r="A198" s="13"/>
      <c r="B198" s="468" t="s">
        <v>96</v>
      </c>
      <c r="C198" s="24"/>
      <c r="D198" s="2"/>
      <c r="E198" s="2" t="s">
        <v>404</v>
      </c>
      <c r="F198" s="215" t="s">
        <v>403</v>
      </c>
      <c r="G198" s="75" t="s">
        <v>403</v>
      </c>
      <c r="H198" s="26"/>
      <c r="I198" s="24"/>
      <c r="J198" s="503"/>
      <c r="K198" s="27" t="s">
        <v>81</v>
      </c>
      <c r="L198" s="496" t="s">
        <v>146</v>
      </c>
      <c r="M198" s="423"/>
      <c r="N198" s="424"/>
      <c r="O198" s="425"/>
      <c r="P198" s="426"/>
      <c r="Q198" s="31" t="s">
        <v>133</v>
      </c>
      <c r="R198" s="31" t="s">
        <v>358</v>
      </c>
      <c r="S198" s="95" t="s">
        <v>81</v>
      </c>
      <c r="T198" s="505">
        <v>1.0</v>
      </c>
      <c r="U198" s="95" t="s">
        <v>133</v>
      </c>
      <c r="V198" s="2" t="s">
        <v>358</v>
      </c>
      <c r="W198" s="30">
        <v>84982.0</v>
      </c>
      <c r="X198" s="31" t="s">
        <v>51</v>
      </c>
      <c r="Y198" s="501">
        <f t="shared" si="52"/>
        <v>84982</v>
      </c>
      <c r="Z198" s="33">
        <f t="shared" si="68"/>
        <v>84982</v>
      </c>
      <c r="AA198" s="86">
        <v>0.1</v>
      </c>
      <c r="AB198" s="85">
        <f t="shared" si="69"/>
        <v>76483.8</v>
      </c>
      <c r="AC198" s="10"/>
      <c r="AD198" s="12"/>
      <c r="AE198" s="12"/>
      <c r="AF198" s="12"/>
      <c r="AG198" s="10"/>
      <c r="AH198" s="10">
        <f t="shared" si="70"/>
        <v>7648.38</v>
      </c>
    </row>
    <row r="199" ht="45.0" hidden="1" customHeight="1" outlineLevel="1">
      <c r="A199" s="13" t="str">
        <f t="shared" ref="A199:A200" si="72">if(left(E199,11)="Общая сумма","Подитог","")</f>
        <v/>
      </c>
      <c r="B199" s="468" t="s">
        <v>96</v>
      </c>
      <c r="C199" s="24"/>
      <c r="D199" s="2"/>
      <c r="E199" s="2" t="s">
        <v>405</v>
      </c>
      <c r="F199" s="215" t="s">
        <v>403</v>
      </c>
      <c r="G199" s="75" t="s">
        <v>403</v>
      </c>
      <c r="H199" s="26"/>
      <c r="I199" s="24"/>
      <c r="J199" s="503"/>
      <c r="K199" s="27" t="s">
        <v>81</v>
      </c>
      <c r="L199" s="496" t="s">
        <v>146</v>
      </c>
      <c r="M199" s="423"/>
      <c r="N199" s="424"/>
      <c r="O199" s="425"/>
      <c r="P199" s="426"/>
      <c r="Q199" s="31" t="s">
        <v>49</v>
      </c>
      <c r="R199" s="31" t="s">
        <v>358</v>
      </c>
      <c r="S199" s="95" t="s">
        <v>81</v>
      </c>
      <c r="T199" s="505">
        <v>1.0</v>
      </c>
      <c r="U199" s="95" t="s">
        <v>49</v>
      </c>
      <c r="V199" s="2" t="s">
        <v>358</v>
      </c>
      <c r="W199" s="30">
        <v>15608.0</v>
      </c>
      <c r="X199" s="31" t="s">
        <v>51</v>
      </c>
      <c r="Y199" s="501">
        <f t="shared" si="52"/>
        <v>15608</v>
      </c>
      <c r="Z199" s="33">
        <f t="shared" si="68"/>
        <v>15608</v>
      </c>
      <c r="AA199" s="86">
        <v>0.1</v>
      </c>
      <c r="AB199" s="85">
        <f t="shared" si="69"/>
        <v>14047.2</v>
      </c>
      <c r="AC199" s="10"/>
      <c r="AD199" s="12"/>
      <c r="AE199" s="12"/>
      <c r="AF199" s="12"/>
      <c r="AG199" s="10"/>
      <c r="AH199" s="10">
        <f t="shared" si="70"/>
        <v>1404.72</v>
      </c>
    </row>
    <row r="200" ht="45.0" customHeight="1" collapsed="1">
      <c r="A200" s="480" t="str">
        <f t="shared" si="72"/>
        <v/>
      </c>
      <c r="B200" s="481"/>
      <c r="C200" s="60"/>
      <c r="D200" s="58"/>
      <c r="E200" s="58" t="s">
        <v>408</v>
      </c>
      <c r="F200" s="58"/>
      <c r="G200" s="59"/>
      <c r="H200" s="60"/>
      <c r="I200" s="60"/>
      <c r="J200" s="60"/>
      <c r="K200" s="60"/>
      <c r="L200" s="482"/>
      <c r="M200" s="483"/>
      <c r="N200" s="484"/>
      <c r="O200" s="485"/>
      <c r="P200" s="486"/>
      <c r="Q200" s="59"/>
      <c r="R200" s="59"/>
      <c r="S200" s="487"/>
      <c r="T200" s="487"/>
      <c r="U200" s="487"/>
      <c r="V200" s="487"/>
      <c r="W200" s="487"/>
      <c r="X200" s="60"/>
      <c r="Y200" s="70">
        <f t="shared" si="52"/>
        <v>0</v>
      </c>
      <c r="Z200" s="506">
        <v>200000.0</v>
      </c>
      <c r="AA200" s="504"/>
      <c r="AB200" s="62">
        <f>Z200</f>
        <v>200000</v>
      </c>
      <c r="AC200" s="72"/>
      <c r="AD200" s="73"/>
      <c r="AE200" s="73"/>
      <c r="AF200" s="73"/>
      <c r="AG200" s="62"/>
      <c r="AH200" s="62">
        <f t="shared" si="70"/>
        <v>20000</v>
      </c>
    </row>
    <row r="201" ht="45.0" hidden="1" customHeight="1" outlineLevel="1">
      <c r="A201" s="495" t="s">
        <v>355</v>
      </c>
      <c r="B201" s="24"/>
      <c r="C201" s="24"/>
      <c r="D201" s="2"/>
      <c r="E201" s="2"/>
      <c r="F201" s="2"/>
      <c r="G201" s="2"/>
      <c r="H201" s="93"/>
      <c r="I201" s="25"/>
      <c r="J201" s="27"/>
      <c r="K201" s="27"/>
      <c r="L201" s="496"/>
      <c r="M201" s="497"/>
      <c r="N201" s="498"/>
      <c r="O201" s="499"/>
      <c r="P201" s="500"/>
      <c r="Q201" s="31"/>
      <c r="R201" s="31"/>
      <c r="S201" s="30"/>
      <c r="T201" s="30"/>
      <c r="U201" s="30"/>
      <c r="V201" s="30"/>
      <c r="W201" s="30"/>
      <c r="X201" s="31"/>
      <c r="Y201" s="501">
        <f t="shared" si="52"/>
        <v>0</v>
      </c>
      <c r="Z201" s="10"/>
      <c r="AA201" s="507"/>
      <c r="AB201" s="10"/>
      <c r="AC201" s="87"/>
      <c r="AD201" s="12"/>
      <c r="AE201" s="12"/>
      <c r="AF201" s="12"/>
      <c r="AG201" s="10"/>
      <c r="AH201" s="10"/>
    </row>
    <row r="202" ht="45.0" hidden="1" customHeight="1" outlineLevel="1">
      <c r="A202" s="13" t="str">
        <f t="shared" ref="A202:A206" si="73">if(left(E202,11)="Общая сумма","Подитог","")</f>
        <v/>
      </c>
      <c r="B202" s="24"/>
      <c r="C202" s="24"/>
      <c r="D202" s="2"/>
      <c r="E202" s="2"/>
      <c r="F202" s="2"/>
      <c r="G202" s="2"/>
      <c r="H202" s="25"/>
      <c r="I202" s="24"/>
      <c r="J202" s="24"/>
      <c r="K202" s="27"/>
      <c r="L202" s="422"/>
      <c r="M202" s="423"/>
      <c r="N202" s="424"/>
      <c r="O202" s="425"/>
      <c r="P202" s="426"/>
      <c r="Q202" s="31"/>
      <c r="R202" s="31"/>
      <c r="S202" s="30"/>
      <c r="T202" s="30"/>
      <c r="U202" s="30"/>
      <c r="V202" s="30"/>
      <c r="W202" s="30"/>
      <c r="X202" s="31"/>
      <c r="Y202" s="501">
        <f t="shared" si="52"/>
        <v>0</v>
      </c>
      <c r="Z202" s="10"/>
      <c r="AA202" s="507"/>
      <c r="AB202" s="10"/>
      <c r="AC202" s="12"/>
      <c r="AD202" s="12"/>
      <c r="AE202" s="92"/>
      <c r="AF202" s="92"/>
      <c r="AG202" s="10"/>
      <c r="AH202" s="10"/>
    </row>
    <row r="203" ht="45.0" hidden="1" customHeight="1" outlineLevel="1">
      <c r="A203" s="13" t="str">
        <f t="shared" si="73"/>
        <v/>
      </c>
      <c r="B203" s="24"/>
      <c r="C203" s="24"/>
      <c r="D203" s="2"/>
      <c r="E203" s="2"/>
      <c r="F203" s="2"/>
      <c r="G203" s="2"/>
      <c r="H203" s="25"/>
      <c r="I203" s="24"/>
      <c r="J203" s="24"/>
      <c r="K203" s="27"/>
      <c r="L203" s="422"/>
      <c r="M203" s="423"/>
      <c r="N203" s="424"/>
      <c r="O203" s="425"/>
      <c r="P203" s="426"/>
      <c r="Q203" s="31"/>
      <c r="R203" s="31"/>
      <c r="S203" s="30"/>
      <c r="T203" s="30"/>
      <c r="U203" s="30"/>
      <c r="V203" s="30"/>
      <c r="W203" s="30"/>
      <c r="X203" s="31"/>
      <c r="Y203" s="501">
        <f t="shared" si="52"/>
        <v>0</v>
      </c>
      <c r="Z203" s="10"/>
      <c r="AA203" s="507"/>
      <c r="AB203" s="10"/>
      <c r="AC203" s="12"/>
      <c r="AD203" s="12"/>
      <c r="AE203" s="92"/>
      <c r="AF203" s="92"/>
      <c r="AG203" s="10"/>
      <c r="AH203" s="10"/>
    </row>
    <row r="204" ht="45.0" hidden="1" customHeight="1" outlineLevel="1">
      <c r="A204" s="13" t="str">
        <f t="shared" si="73"/>
        <v/>
      </c>
      <c r="B204" s="508"/>
      <c r="C204" s="24"/>
      <c r="D204" s="2"/>
      <c r="E204" s="2"/>
      <c r="F204" s="2"/>
      <c r="G204" s="74"/>
      <c r="H204" s="26"/>
      <c r="I204" s="24"/>
      <c r="J204" s="503"/>
      <c r="K204" s="27"/>
      <c r="L204" s="422"/>
      <c r="M204" s="423"/>
      <c r="N204" s="424"/>
      <c r="O204" s="425"/>
      <c r="P204" s="426"/>
      <c r="Q204" s="29"/>
      <c r="R204" s="29"/>
      <c r="S204" s="30"/>
      <c r="T204" s="30"/>
      <c r="U204" s="30"/>
      <c r="V204" s="30"/>
      <c r="W204" s="30"/>
      <c r="X204" s="31"/>
      <c r="Y204" s="213">
        <f t="shared" si="52"/>
        <v>0</v>
      </c>
      <c r="Z204" s="10"/>
      <c r="AA204" s="9"/>
      <c r="AB204" s="10"/>
      <c r="AC204" s="33"/>
      <c r="AD204" s="12"/>
      <c r="AE204" s="12"/>
      <c r="AF204" s="12"/>
      <c r="AG204" s="10"/>
      <c r="AH204" s="10"/>
    </row>
    <row r="205" ht="45.0" hidden="1" customHeight="1" outlineLevel="1">
      <c r="A205" s="13" t="str">
        <f t="shared" si="73"/>
        <v/>
      </c>
      <c r="B205" s="508"/>
      <c r="C205" s="24"/>
      <c r="D205" s="2"/>
      <c r="E205" s="2"/>
      <c r="F205" s="2"/>
      <c r="G205" s="74"/>
      <c r="H205" s="26"/>
      <c r="I205" s="24"/>
      <c r="J205" s="503"/>
      <c r="K205" s="27"/>
      <c r="L205" s="422"/>
      <c r="M205" s="423"/>
      <c r="N205" s="424"/>
      <c r="O205" s="425"/>
      <c r="P205" s="426"/>
      <c r="Q205" s="29"/>
      <c r="R205" s="29"/>
      <c r="S205" s="30"/>
      <c r="T205" s="30"/>
      <c r="U205" s="30"/>
      <c r="V205" s="30"/>
      <c r="W205" s="30"/>
      <c r="X205" s="31"/>
      <c r="Y205" s="213">
        <f t="shared" si="52"/>
        <v>0</v>
      </c>
      <c r="Z205" s="10"/>
      <c r="AA205" s="9"/>
      <c r="AB205" s="10"/>
      <c r="AC205" s="33"/>
      <c r="AD205" s="12"/>
      <c r="AE205" s="12"/>
      <c r="AF205" s="12"/>
      <c r="AG205" s="10"/>
      <c r="AH205" s="10"/>
    </row>
    <row r="206" ht="45.0" customHeight="1" collapsed="1">
      <c r="A206" s="480" t="str">
        <f t="shared" si="73"/>
        <v/>
      </c>
      <c r="B206" s="481"/>
      <c r="C206" s="60"/>
      <c r="D206" s="58"/>
      <c r="E206" s="58" t="s">
        <v>409</v>
      </c>
      <c r="F206" s="58"/>
      <c r="G206" s="59"/>
      <c r="H206" s="60"/>
      <c r="I206" s="60"/>
      <c r="J206" s="60"/>
      <c r="K206" s="60"/>
      <c r="L206" s="482"/>
      <c r="M206" s="483"/>
      <c r="N206" s="484"/>
      <c r="O206" s="485"/>
      <c r="P206" s="486"/>
      <c r="Q206" s="59"/>
      <c r="R206" s="59"/>
      <c r="S206" s="487"/>
      <c r="T206" s="487"/>
      <c r="U206" s="487"/>
      <c r="V206" s="487"/>
      <c r="W206" s="487"/>
      <c r="X206" s="60"/>
      <c r="Y206" s="70">
        <f t="shared" si="52"/>
        <v>0</v>
      </c>
      <c r="Z206" s="506">
        <v>0.0</v>
      </c>
      <c r="AA206" s="504"/>
      <c r="AB206" s="506">
        <v>0.0</v>
      </c>
      <c r="AC206" s="72"/>
      <c r="AD206" s="73"/>
      <c r="AE206" s="73"/>
      <c r="AF206" s="73"/>
      <c r="AG206" s="506"/>
      <c r="AH206" s="506">
        <v>0.0</v>
      </c>
    </row>
    <row r="207" hidden="1" outlineLevel="1">
      <c r="A207" s="495" t="s">
        <v>355</v>
      </c>
      <c r="B207" s="27"/>
      <c r="C207" s="27"/>
      <c r="D207" s="2"/>
      <c r="E207" s="2"/>
      <c r="F207" s="2"/>
      <c r="G207" s="2"/>
      <c r="H207" s="93"/>
      <c r="I207" s="25"/>
      <c r="J207" s="27"/>
      <c r="K207" s="27"/>
      <c r="L207" s="496"/>
      <c r="M207" s="497"/>
      <c r="N207" s="498"/>
      <c r="O207" s="499"/>
      <c r="P207" s="500"/>
      <c r="Q207" s="31"/>
      <c r="R207" s="31"/>
      <c r="S207" s="30"/>
      <c r="T207" s="30"/>
      <c r="U207" s="30"/>
      <c r="V207" s="30"/>
      <c r="W207" s="30"/>
      <c r="X207" s="31"/>
      <c r="Y207" s="501">
        <f t="shared" si="52"/>
        <v>0</v>
      </c>
      <c r="Z207" s="10"/>
      <c r="AA207" s="509"/>
      <c r="AB207" s="10"/>
      <c r="AC207" s="87"/>
      <c r="AD207" s="12"/>
      <c r="AE207" s="12"/>
      <c r="AF207" s="12"/>
      <c r="AG207" s="10"/>
      <c r="AH207" s="10"/>
    </row>
    <row r="208" hidden="1" outlineLevel="1">
      <c r="A208" s="13" t="str">
        <f t="shared" ref="A208:A212" si="74">if(left(E208,11)="Общая сумма","Подитог","")</f>
        <v/>
      </c>
      <c r="B208" s="24"/>
      <c r="C208" s="24"/>
      <c r="D208" s="2"/>
      <c r="E208" s="2"/>
      <c r="F208" s="2"/>
      <c r="G208" s="2"/>
      <c r="H208" s="25"/>
      <c r="I208" s="24"/>
      <c r="J208" s="24"/>
      <c r="K208" s="27"/>
      <c r="L208" s="422"/>
      <c r="M208" s="423"/>
      <c r="N208" s="424"/>
      <c r="O208" s="425"/>
      <c r="P208" s="426"/>
      <c r="Q208" s="31"/>
      <c r="R208" s="31"/>
      <c r="S208" s="30"/>
      <c r="T208" s="30"/>
      <c r="U208" s="30"/>
      <c r="V208" s="30"/>
      <c r="W208" s="30"/>
      <c r="X208" s="31"/>
      <c r="Y208" s="501">
        <f t="shared" si="52"/>
        <v>0</v>
      </c>
      <c r="Z208" s="10"/>
      <c r="AA208" s="507"/>
      <c r="AB208" s="10"/>
      <c r="AC208" s="12"/>
      <c r="AD208" s="12"/>
      <c r="AE208" s="92"/>
      <c r="AF208" s="92"/>
      <c r="AG208" s="10"/>
      <c r="AH208" s="10"/>
    </row>
    <row r="209" hidden="1" outlineLevel="1">
      <c r="A209" s="13" t="str">
        <f t="shared" si="74"/>
        <v/>
      </c>
      <c r="B209" s="24"/>
      <c r="C209" s="24"/>
      <c r="D209" s="2"/>
      <c r="E209" s="2"/>
      <c r="F209" s="2"/>
      <c r="G209" s="2"/>
      <c r="H209" s="25"/>
      <c r="I209" s="24"/>
      <c r="J209" s="24"/>
      <c r="K209" s="27"/>
      <c r="L209" s="422"/>
      <c r="M209" s="423"/>
      <c r="N209" s="424"/>
      <c r="O209" s="425"/>
      <c r="P209" s="426"/>
      <c r="Q209" s="31"/>
      <c r="R209" s="31"/>
      <c r="S209" s="30"/>
      <c r="T209" s="30"/>
      <c r="U209" s="30"/>
      <c r="V209" s="30"/>
      <c r="W209" s="30"/>
      <c r="X209" s="31"/>
      <c r="Y209" s="501">
        <f t="shared" si="52"/>
        <v>0</v>
      </c>
      <c r="Z209" s="10"/>
      <c r="AA209" s="507"/>
      <c r="AB209" s="10"/>
      <c r="AC209" s="12"/>
      <c r="AD209" s="12"/>
      <c r="AE209" s="92"/>
      <c r="AF209" s="92"/>
      <c r="AG209" s="10"/>
      <c r="AH209" s="10"/>
    </row>
    <row r="210" hidden="1" outlineLevel="1">
      <c r="A210" s="13" t="str">
        <f t="shared" si="74"/>
        <v/>
      </c>
      <c r="B210" s="508"/>
      <c r="C210" s="24"/>
      <c r="D210" s="2"/>
      <c r="E210" s="2"/>
      <c r="F210" s="2"/>
      <c r="G210" s="74"/>
      <c r="H210" s="26"/>
      <c r="I210" s="24"/>
      <c r="J210" s="503"/>
      <c r="K210" s="27"/>
      <c r="L210" s="422"/>
      <c r="M210" s="423"/>
      <c r="N210" s="424"/>
      <c r="O210" s="425"/>
      <c r="P210" s="426"/>
      <c r="Q210" s="29"/>
      <c r="R210" s="29"/>
      <c r="S210" s="30"/>
      <c r="T210" s="30"/>
      <c r="U210" s="30"/>
      <c r="V210" s="30"/>
      <c r="W210" s="30"/>
      <c r="X210" s="31"/>
      <c r="Y210" s="213">
        <f t="shared" si="52"/>
        <v>0</v>
      </c>
      <c r="Z210" s="10"/>
      <c r="AA210" s="9"/>
      <c r="AB210" s="10"/>
      <c r="AC210" s="33"/>
      <c r="AD210" s="12"/>
      <c r="AE210" s="12"/>
      <c r="AF210" s="12"/>
      <c r="AG210" s="10"/>
      <c r="AH210" s="10"/>
    </row>
    <row r="211" hidden="1" outlineLevel="1">
      <c r="A211" s="13" t="str">
        <f t="shared" si="74"/>
        <v/>
      </c>
      <c r="B211" s="508"/>
      <c r="C211" s="24"/>
      <c r="D211" s="2"/>
      <c r="E211" s="2"/>
      <c r="F211" s="2"/>
      <c r="G211" s="74"/>
      <c r="H211" s="26"/>
      <c r="I211" s="24"/>
      <c r="J211" s="503"/>
      <c r="K211" s="27"/>
      <c r="L211" s="422"/>
      <c r="M211" s="423"/>
      <c r="N211" s="424"/>
      <c r="O211" s="425"/>
      <c r="P211" s="426"/>
      <c r="Q211" s="29"/>
      <c r="R211" s="29"/>
      <c r="S211" s="30"/>
      <c r="T211" s="30"/>
      <c r="U211" s="30"/>
      <c r="V211" s="30"/>
      <c r="W211" s="30"/>
      <c r="X211" s="31"/>
      <c r="Y211" s="213">
        <f t="shared" si="52"/>
        <v>0</v>
      </c>
      <c r="Z211" s="10"/>
      <c r="AA211" s="9"/>
      <c r="AB211" s="10"/>
      <c r="AC211" s="33"/>
      <c r="AD211" s="12"/>
      <c r="AE211" s="12"/>
      <c r="AF211" s="12"/>
      <c r="AG211" s="10"/>
      <c r="AH211" s="10"/>
    </row>
    <row r="212" ht="66.75" customHeight="1">
      <c r="A212" s="510" t="str">
        <f t="shared" si="74"/>
        <v/>
      </c>
      <c r="B212" s="511"/>
      <c r="C212" s="511"/>
      <c r="D212" s="512"/>
      <c r="E212" s="512" t="s">
        <v>410</v>
      </c>
      <c r="F212" s="512"/>
      <c r="G212" s="513"/>
      <c r="H212" s="513"/>
      <c r="I212" s="514"/>
      <c r="J212" s="515"/>
      <c r="K212" s="511"/>
      <c r="L212" s="516"/>
      <c r="M212" s="517"/>
      <c r="N212" s="518"/>
      <c r="O212" s="517"/>
      <c r="P212" s="519"/>
      <c r="Q212" s="520"/>
      <c r="R212" s="520"/>
      <c r="S212" s="521"/>
      <c r="T212" s="521"/>
      <c r="U212" s="521"/>
      <c r="V212" s="521"/>
      <c r="W212" s="521"/>
      <c r="X212" s="522"/>
      <c r="Y212" s="521">
        <f t="shared" si="52"/>
        <v>0</v>
      </c>
      <c r="Z212" s="523">
        <f>SUM(Z6+Z19+Z29+Z43+Z46+Z58+Z97+Z127+Z134+Z162+Z177+Z185+Z187+Z200+Z206)</f>
        <v>5839802.27</v>
      </c>
      <c r="AA212" s="524"/>
      <c r="AB212" s="523">
        <f>SUM(AB6+AB19+AB29+AB43+AB46+AB58+AB97+AB127+AB134+AB162+AB177+AB185+AB187+AB200+AB206)</f>
        <v>5162235.87</v>
      </c>
      <c r="AC212" s="516"/>
      <c r="AD212" s="516"/>
      <c r="AE212" s="516"/>
      <c r="AF212" s="516"/>
      <c r="AG212" s="511"/>
      <c r="AH212" s="523">
        <f>SUM(AH6+AH19+AH29+AH43+AH46+AH58+AH97+AH127+AH134+AH162+AH177+AH185+AH187+AH200+AH206)</f>
        <v>474801.677</v>
      </c>
    </row>
    <row r="213" ht="66.75" customHeight="1">
      <c r="A213" s="525"/>
      <c r="B213" s="526"/>
      <c r="C213" s="526"/>
      <c r="D213" s="527"/>
      <c r="E213" s="527" t="s">
        <v>411</v>
      </c>
      <c r="F213" s="527"/>
      <c r="G213" s="528"/>
      <c r="H213" s="528"/>
      <c r="I213" s="529"/>
      <c r="J213" s="530"/>
      <c r="K213" s="526"/>
      <c r="L213" s="531"/>
      <c r="M213" s="531"/>
      <c r="N213" s="531"/>
      <c r="O213" s="531"/>
      <c r="P213" s="532"/>
      <c r="Q213" s="533"/>
      <c r="R213" s="533"/>
      <c r="S213" s="534"/>
      <c r="T213" s="534"/>
      <c r="U213" s="534"/>
      <c r="V213" s="534"/>
      <c r="W213" s="534"/>
      <c r="X213" s="535"/>
      <c r="Y213" s="534"/>
      <c r="Z213" s="536">
        <f>Z212*1.1</f>
        <v>6423782.497</v>
      </c>
      <c r="AA213" s="536"/>
      <c r="AB213" s="536">
        <f t="shared" ref="AB213:AF213" si="75">AB212*1.1</f>
        <v>5678459.456</v>
      </c>
      <c r="AC213" s="536">
        <f t="shared" si="75"/>
        <v>0</v>
      </c>
      <c r="AD213" s="536">
        <f t="shared" si="75"/>
        <v>0</v>
      </c>
      <c r="AE213" s="536">
        <f t="shared" si="75"/>
        <v>0</v>
      </c>
      <c r="AF213" s="536">
        <f t="shared" si="75"/>
        <v>0</v>
      </c>
      <c r="AG213" s="536"/>
      <c r="AH213" s="536">
        <f>AH212*1.1</f>
        <v>522281.8446</v>
      </c>
    </row>
    <row r="214" ht="14.25" customHeight="1">
      <c r="A214" s="537"/>
      <c r="B214" s="538"/>
      <c r="C214" s="539"/>
      <c r="D214" s="540"/>
      <c r="E214" s="540"/>
      <c r="F214" s="540"/>
      <c r="G214" s="540"/>
      <c r="H214" s="541"/>
      <c r="I214" s="541"/>
      <c r="J214" s="541"/>
      <c r="K214" s="541"/>
      <c r="L214" s="541"/>
      <c r="M214" s="541"/>
      <c r="N214" s="541"/>
      <c r="O214" s="541"/>
      <c r="P214" s="541"/>
      <c r="Q214" s="541"/>
      <c r="R214" s="541"/>
      <c r="S214" s="541"/>
      <c r="T214" s="541"/>
      <c r="U214" s="541"/>
      <c r="V214" s="541"/>
      <c r="W214" s="541"/>
      <c r="X214" s="541"/>
      <c r="Y214" s="541"/>
      <c r="Z214" s="541"/>
      <c r="AA214" s="541"/>
      <c r="AB214" s="541"/>
      <c r="AC214" s="541"/>
      <c r="AD214" s="541"/>
      <c r="AE214" s="541"/>
      <c r="AF214" s="541"/>
      <c r="AG214" s="541"/>
      <c r="AH214" s="541"/>
    </row>
    <row r="215" ht="58.5" customHeight="1">
      <c r="A215" s="542" t="str">
        <f t="shared" ref="A215:A233" si="76">if(left(E215,11)="Общая сумма","Подитог","")</f>
        <v/>
      </c>
      <c r="B215" s="543" t="s">
        <v>412</v>
      </c>
      <c r="C215" s="544"/>
      <c r="D215" s="545"/>
      <c r="E215" s="546">
        <f>Z213-AB213</f>
        <v>745323.0406</v>
      </c>
      <c r="F215" s="545"/>
      <c r="G215" s="547"/>
      <c r="H215" s="547"/>
      <c r="I215" s="547"/>
      <c r="J215" s="547"/>
      <c r="K215" s="541"/>
      <c r="L215" s="541"/>
      <c r="M215" s="548"/>
      <c r="N215" s="549"/>
      <c r="O215" s="547"/>
      <c r="P215" s="550"/>
      <c r="Q215" s="551"/>
      <c r="R215" s="551"/>
      <c r="S215" s="552"/>
      <c r="T215" s="552"/>
      <c r="U215" s="552"/>
      <c r="V215" s="552"/>
      <c r="W215" s="552"/>
      <c r="X215" s="553"/>
      <c r="Y215" s="541"/>
      <c r="Z215" s="554"/>
      <c r="AA215" s="555"/>
      <c r="AB215" s="556"/>
      <c r="AC215" s="557"/>
      <c r="AD215" s="557"/>
      <c r="AE215" s="558"/>
      <c r="AF215" s="558"/>
      <c r="AG215" s="557"/>
      <c r="AH215" s="557"/>
    </row>
    <row r="216" ht="53.25" customHeight="1">
      <c r="A216" s="559" t="str">
        <f t="shared" si="76"/>
        <v/>
      </c>
      <c r="B216" s="560" t="s">
        <v>413</v>
      </c>
      <c r="C216" s="561"/>
      <c r="D216" s="3"/>
      <c r="E216" s="562">
        <f>AH213</f>
        <v>522281.8446</v>
      </c>
      <c r="F216" s="3"/>
      <c r="G216" s="563"/>
      <c r="H216" s="563"/>
      <c r="I216" s="563"/>
      <c r="J216" s="563"/>
      <c r="M216" s="564"/>
      <c r="N216" s="565"/>
      <c r="O216" s="563"/>
      <c r="P216" s="566"/>
      <c r="Q216" s="563"/>
      <c r="R216" s="563"/>
      <c r="S216" s="567"/>
      <c r="T216" s="567"/>
      <c r="U216" s="567"/>
      <c r="V216" s="567"/>
      <c r="W216" s="567"/>
      <c r="X216" s="563"/>
      <c r="Y216" s="567"/>
      <c r="Z216" s="8"/>
      <c r="AA216" s="568"/>
      <c r="AB216" s="569"/>
      <c r="AC216" s="570"/>
      <c r="AD216" s="571"/>
      <c r="AE216" s="571"/>
      <c r="AF216" s="571"/>
      <c r="AG216" s="571"/>
      <c r="AH216" s="571"/>
    </row>
    <row r="217" ht="46.5" customHeight="1">
      <c r="A217" s="559" t="str">
        <f t="shared" si="76"/>
        <v/>
      </c>
      <c r="B217" s="572" t="s">
        <v>414</v>
      </c>
      <c r="C217" s="573"/>
      <c r="D217" s="574"/>
      <c r="E217" s="575">
        <f>Z213+AH213</f>
        <v>6946064.342</v>
      </c>
      <c r="F217" s="3"/>
      <c r="G217" s="563"/>
      <c r="H217" s="563"/>
      <c r="I217" s="563"/>
      <c r="J217" s="563"/>
      <c r="M217" s="564"/>
      <c r="N217" s="565"/>
      <c r="O217" s="563"/>
      <c r="P217" s="566"/>
      <c r="Q217" s="576"/>
      <c r="R217" s="576"/>
      <c r="S217" s="567"/>
      <c r="T217" s="567"/>
      <c r="U217" s="567"/>
      <c r="V217" s="567"/>
      <c r="W217" s="567"/>
      <c r="X217" s="563"/>
      <c r="Y217" s="577"/>
      <c r="Z217" s="578"/>
      <c r="AA217" s="579"/>
      <c r="AB217" s="569"/>
      <c r="AC217" s="570"/>
      <c r="AD217" s="571"/>
      <c r="AE217" s="571"/>
      <c r="AF217" s="571"/>
      <c r="AG217" s="571"/>
      <c r="AH217" s="571"/>
    </row>
    <row r="218" ht="76.5" customHeight="1">
      <c r="A218" s="13" t="str">
        <f t="shared" si="76"/>
        <v/>
      </c>
      <c r="B218" s="561"/>
      <c r="C218" s="561"/>
      <c r="D218" s="580"/>
      <c r="E218" s="580"/>
      <c r="F218" s="580"/>
      <c r="G218" s="580"/>
      <c r="H218" s="561"/>
      <c r="I218" s="561"/>
      <c r="J218" s="561"/>
      <c r="K218" s="561"/>
      <c r="L218" s="581"/>
      <c r="M218" s="582"/>
      <c r="N218" s="583"/>
      <c r="O218" s="581"/>
      <c r="P218" s="584"/>
      <c r="Q218" s="580"/>
      <c r="R218" s="580"/>
      <c r="S218" s="585"/>
      <c r="T218" s="585"/>
      <c r="U218" s="585"/>
      <c r="V218" s="585"/>
      <c r="W218" s="585"/>
      <c r="X218" s="561"/>
      <c r="Y218" s="585"/>
      <c r="Z218" s="578"/>
      <c r="AA218" s="586"/>
      <c r="AB218" s="569"/>
      <c r="AC218" s="581"/>
      <c r="AD218" s="571"/>
      <c r="AE218" s="571"/>
      <c r="AF218" s="571"/>
      <c r="AG218" s="569"/>
      <c r="AH218" s="569"/>
    </row>
    <row r="219" ht="60.0" customHeight="1">
      <c r="A219" s="13" t="str">
        <f t="shared" si="76"/>
        <v/>
      </c>
      <c r="B219" s="2" t="s">
        <v>415</v>
      </c>
      <c r="C219" s="24"/>
      <c r="D219" s="587"/>
      <c r="E219" s="587">
        <v>86.69</v>
      </c>
      <c r="F219" s="587"/>
      <c r="G219" s="588"/>
      <c r="H219" s="589"/>
      <c r="I219" s="26"/>
      <c r="J219" s="590"/>
      <c r="K219" s="24"/>
      <c r="L219" s="10"/>
      <c r="M219" s="98"/>
      <c r="N219" s="78"/>
      <c r="O219" s="10"/>
      <c r="P219" s="28"/>
      <c r="Q219" s="591"/>
      <c r="R219" s="591"/>
      <c r="S219" s="213"/>
      <c r="T219" s="213"/>
      <c r="U219" s="213"/>
      <c r="V219" s="213"/>
      <c r="W219" s="213"/>
      <c r="X219" s="592"/>
      <c r="Y219" s="213" t="str">
        <f>iferror(if(X219="RUB",W219, if(and(W219="",X219=""),"",W219*indirect(X219))),"Выберите валюту")</f>
        <v/>
      </c>
      <c r="Z219" s="8"/>
      <c r="AA219" s="32"/>
      <c r="AB219" s="10"/>
      <c r="AC219" s="10"/>
      <c r="AD219" s="12"/>
      <c r="AE219" s="12"/>
      <c r="AF219" s="12"/>
      <c r="AG219" s="10"/>
      <c r="AH219" s="10"/>
    </row>
    <row r="220" ht="60.0" customHeight="1">
      <c r="A220" s="13" t="str">
        <f t="shared" si="76"/>
        <v/>
      </c>
      <c r="B220" s="2" t="s">
        <v>416</v>
      </c>
      <c r="C220" s="593"/>
      <c r="D220" s="587"/>
      <c r="E220" s="587">
        <v>73.6</v>
      </c>
      <c r="F220" s="587"/>
      <c r="G220" s="587"/>
      <c r="H220" s="589"/>
      <c r="I220" s="26"/>
      <c r="J220" s="590"/>
      <c r="K220" s="24"/>
      <c r="L220" s="10"/>
      <c r="M220" s="98"/>
      <c r="N220" s="78"/>
      <c r="O220" s="10"/>
      <c r="P220" s="28"/>
      <c r="Q220" s="591"/>
      <c r="R220" s="591"/>
      <c r="S220" s="213"/>
      <c r="T220" s="213"/>
      <c r="U220" s="213"/>
      <c r="V220" s="213"/>
      <c r="W220" s="213"/>
      <c r="X220" s="592"/>
      <c r="Y220" s="213"/>
      <c r="Z220" s="8"/>
      <c r="AA220" s="32"/>
      <c r="AB220" s="10"/>
      <c r="AC220" s="10"/>
      <c r="AD220" s="12"/>
      <c r="AE220" s="12"/>
      <c r="AF220" s="12"/>
      <c r="AG220" s="10"/>
      <c r="AH220" s="10"/>
    </row>
    <row r="221" ht="60.0" customHeight="1">
      <c r="A221" s="13" t="str">
        <f t="shared" si="76"/>
        <v/>
      </c>
      <c r="B221" s="2" t="s">
        <v>417</v>
      </c>
      <c r="C221" s="593"/>
      <c r="D221" s="587"/>
      <c r="E221" s="587">
        <v>101.33</v>
      </c>
      <c r="F221" s="587"/>
      <c r="G221" s="588"/>
      <c r="H221" s="589"/>
      <c r="I221" s="26"/>
      <c r="J221" s="590"/>
      <c r="K221" s="24"/>
      <c r="L221" s="10"/>
      <c r="M221" s="98"/>
      <c r="N221" s="78"/>
      <c r="O221" s="10"/>
      <c r="P221" s="28"/>
      <c r="Q221" s="591"/>
      <c r="R221" s="591"/>
      <c r="S221" s="213"/>
      <c r="T221" s="213"/>
      <c r="U221" s="213"/>
      <c r="V221" s="213"/>
      <c r="W221" s="213"/>
      <c r="X221" s="592"/>
      <c r="Y221" s="213" t="str">
        <f t="shared" ref="Y221:Y233" si="77">iferror(if(X221="RUB",W221, if(and(W221="",X221=""),"",W221*indirect(X221))),"Выберите валюту")</f>
        <v/>
      </c>
      <c r="Z221" s="8"/>
      <c r="AA221" s="32"/>
      <c r="AB221" s="10"/>
      <c r="AC221" s="10"/>
      <c r="AD221" s="12"/>
      <c r="AE221" s="12"/>
      <c r="AF221" s="12"/>
      <c r="AG221" s="10"/>
      <c r="AH221" s="10"/>
    </row>
    <row r="222" ht="36.0" customHeight="1">
      <c r="A222" s="13" t="str">
        <f t="shared" si="76"/>
        <v/>
      </c>
      <c r="B222" s="594"/>
      <c r="C222" s="594"/>
      <c r="D222" s="587"/>
      <c r="E222" s="587" t="s">
        <v>355</v>
      </c>
      <c r="F222" s="587"/>
      <c r="G222" s="221"/>
      <c r="H222" s="595"/>
      <c r="I222" s="26"/>
      <c r="J222" s="24"/>
      <c r="K222" s="24"/>
      <c r="L222" s="10"/>
      <c r="M222" s="98"/>
      <c r="N222" s="78"/>
      <c r="O222" s="10"/>
      <c r="P222" s="28"/>
      <c r="Q222" s="591"/>
      <c r="R222" s="591"/>
      <c r="S222" s="213"/>
      <c r="T222" s="213"/>
      <c r="U222" s="213"/>
      <c r="V222" s="213"/>
      <c r="W222" s="213"/>
      <c r="X222" s="592"/>
      <c r="Y222" s="213" t="str">
        <f t="shared" si="77"/>
        <v/>
      </c>
      <c r="Z222" s="8"/>
      <c r="AA222" s="32"/>
      <c r="AB222" s="10"/>
      <c r="AC222" s="10"/>
      <c r="AD222" s="12"/>
      <c r="AE222" s="12"/>
      <c r="AF222" s="12"/>
      <c r="AG222" s="10"/>
      <c r="AH222" s="10"/>
    </row>
    <row r="223">
      <c r="A223" s="13" t="str">
        <f t="shared" si="76"/>
        <v/>
      </c>
      <c r="B223" s="596"/>
      <c r="C223" s="596"/>
      <c r="D223" s="580"/>
      <c r="E223" s="580"/>
      <c r="F223" s="580"/>
      <c r="G223" s="580"/>
      <c r="H223" s="561"/>
      <c r="I223" s="561"/>
      <c r="J223" s="561"/>
      <c r="K223" s="561"/>
      <c r="L223" s="581"/>
      <c r="M223" s="582"/>
      <c r="N223" s="583"/>
      <c r="O223" s="581"/>
      <c r="P223" s="584"/>
      <c r="Q223" s="580"/>
      <c r="R223" s="580"/>
      <c r="S223" s="585"/>
      <c r="T223" s="585"/>
      <c r="U223" s="585"/>
      <c r="V223" s="585"/>
      <c r="W223" s="585"/>
      <c r="X223" s="561"/>
      <c r="Y223" s="585" t="str">
        <f t="shared" si="77"/>
        <v/>
      </c>
      <c r="Z223" s="8"/>
      <c r="AA223" s="32"/>
      <c r="AB223" s="597"/>
      <c r="AC223" s="597"/>
      <c r="AD223" s="598"/>
      <c r="AE223" s="598"/>
      <c r="AF223" s="598"/>
      <c r="AG223" s="597"/>
      <c r="AH223" s="597"/>
    </row>
    <row r="224">
      <c r="A224" s="13" t="str">
        <f t="shared" si="76"/>
        <v/>
      </c>
      <c r="B224" s="599"/>
      <c r="C224" s="600"/>
      <c r="D224" s="599"/>
      <c r="E224" s="599"/>
      <c r="F224" s="599"/>
      <c r="G224" s="599"/>
      <c r="H224" s="601"/>
      <c r="I224" s="601"/>
      <c r="J224" s="601"/>
      <c r="K224" s="601"/>
      <c r="L224" s="602"/>
      <c r="M224" s="603"/>
      <c r="N224" s="604"/>
      <c r="O224" s="602"/>
      <c r="P224" s="605"/>
      <c r="Q224" s="599"/>
      <c r="R224" s="599"/>
      <c r="S224" s="606"/>
      <c r="T224" s="606"/>
      <c r="U224" s="606"/>
      <c r="V224" s="606"/>
      <c r="W224" s="606"/>
      <c r="X224" s="601"/>
      <c r="Y224" s="606" t="str">
        <f t="shared" si="77"/>
        <v/>
      </c>
      <c r="Z224" s="8"/>
      <c r="AA224" s="32"/>
      <c r="AB224" s="597"/>
      <c r="AC224" s="597"/>
      <c r="AD224" s="598"/>
      <c r="AE224" s="598"/>
      <c r="AF224" s="598"/>
      <c r="AG224" s="597"/>
      <c r="AH224" s="597"/>
    </row>
    <row r="225">
      <c r="A225" s="13" t="str">
        <f t="shared" si="76"/>
        <v/>
      </c>
      <c r="B225" s="607"/>
      <c r="C225" s="600"/>
      <c r="D225" s="607"/>
      <c r="E225" s="607"/>
      <c r="F225" s="607"/>
      <c r="G225" s="599"/>
      <c r="H225" s="601"/>
      <c r="I225" s="601"/>
      <c r="J225" s="601"/>
      <c r="K225" s="601"/>
      <c r="L225" s="602"/>
      <c r="M225" s="603"/>
      <c r="N225" s="604"/>
      <c r="O225" s="602"/>
      <c r="P225" s="605"/>
      <c r="Q225" s="599"/>
      <c r="R225" s="599"/>
      <c r="S225" s="606"/>
      <c r="T225" s="606"/>
      <c r="U225" s="606"/>
      <c r="V225" s="606"/>
      <c r="W225" s="606"/>
      <c r="X225" s="601"/>
      <c r="Y225" s="606" t="str">
        <f t="shared" si="77"/>
        <v/>
      </c>
      <c r="Z225" s="8"/>
      <c r="AA225" s="32"/>
      <c r="AB225" s="597"/>
      <c r="AC225" s="597"/>
      <c r="AD225" s="598"/>
      <c r="AE225" s="598"/>
      <c r="AF225" s="598"/>
      <c r="AG225" s="597"/>
      <c r="AH225" s="597"/>
    </row>
    <row r="226">
      <c r="A226" s="13" t="str">
        <f t="shared" si="76"/>
        <v/>
      </c>
      <c r="B226" s="607"/>
      <c r="C226" s="600"/>
      <c r="D226" s="607"/>
      <c r="E226" s="607"/>
      <c r="F226" s="607"/>
      <c r="G226" s="599"/>
      <c r="H226" s="601"/>
      <c r="I226" s="601"/>
      <c r="J226" s="601"/>
      <c r="K226" s="601"/>
      <c r="L226" s="602"/>
      <c r="M226" s="603"/>
      <c r="N226" s="604"/>
      <c r="O226" s="602"/>
      <c r="P226" s="605"/>
      <c r="Q226" s="599"/>
      <c r="R226" s="599"/>
      <c r="S226" s="606"/>
      <c r="T226" s="606"/>
      <c r="U226" s="606"/>
      <c r="V226" s="606"/>
      <c r="W226" s="606"/>
      <c r="X226" s="606"/>
      <c r="Y226" s="606" t="str">
        <f t="shared" si="77"/>
        <v/>
      </c>
      <c r="Z226" s="8"/>
      <c r="AA226" s="32"/>
      <c r="AB226" s="597"/>
      <c r="AC226" s="597"/>
      <c r="AD226" s="598"/>
      <c r="AE226" s="598"/>
      <c r="AF226" s="598"/>
      <c r="AG226" s="597"/>
      <c r="AH226" s="597"/>
    </row>
    <row r="227">
      <c r="A227" s="13" t="str">
        <f t="shared" si="76"/>
        <v/>
      </c>
      <c r="B227" s="599"/>
      <c r="C227" s="600"/>
      <c r="D227" s="599"/>
      <c r="E227" s="599"/>
      <c r="F227" s="599"/>
      <c r="G227" s="599"/>
      <c r="H227" s="601"/>
      <c r="I227" s="601"/>
      <c r="J227" s="601"/>
      <c r="K227" s="601"/>
      <c r="L227" s="602"/>
      <c r="M227" s="603"/>
      <c r="N227" s="604"/>
      <c r="O227" s="602"/>
      <c r="P227" s="605"/>
      <c r="Q227" s="599"/>
      <c r="R227" s="599"/>
      <c r="S227" s="606"/>
      <c r="T227" s="606"/>
      <c r="U227" s="606"/>
      <c r="V227" s="606"/>
      <c r="W227" s="606"/>
      <c r="X227" s="601"/>
      <c r="Y227" s="606" t="str">
        <f t="shared" si="77"/>
        <v/>
      </c>
      <c r="Z227" s="8"/>
      <c r="AA227" s="32"/>
      <c r="AB227" s="597"/>
      <c r="AC227" s="597"/>
      <c r="AD227" s="598"/>
      <c r="AE227" s="598"/>
      <c r="AF227" s="598"/>
      <c r="AG227" s="597"/>
      <c r="AH227" s="597"/>
    </row>
    <row r="228">
      <c r="A228" s="13" t="str">
        <f t="shared" si="76"/>
        <v/>
      </c>
      <c r="B228" s="599"/>
      <c r="C228" s="600"/>
      <c r="D228" s="599"/>
      <c r="E228" s="599"/>
      <c r="F228" s="599"/>
      <c r="G228" s="599"/>
      <c r="H228" s="601"/>
      <c r="I228" s="601"/>
      <c r="J228" s="601"/>
      <c r="K228" s="601"/>
      <c r="L228" s="602"/>
      <c r="M228" s="603"/>
      <c r="N228" s="604"/>
      <c r="O228" s="602"/>
      <c r="P228" s="605"/>
      <c r="Q228" s="599"/>
      <c r="R228" s="599"/>
      <c r="S228" s="606"/>
      <c r="T228" s="606"/>
      <c r="U228" s="606"/>
      <c r="V228" s="606"/>
      <c r="W228" s="606"/>
      <c r="X228" s="601"/>
      <c r="Y228" s="606" t="str">
        <f t="shared" si="77"/>
        <v/>
      </c>
      <c r="Z228" s="8"/>
      <c r="AA228" s="32"/>
      <c r="AB228" s="597"/>
      <c r="AC228" s="597"/>
      <c r="AD228" s="598"/>
      <c r="AE228" s="598"/>
      <c r="AF228" s="598"/>
      <c r="AG228" s="597"/>
      <c r="AH228" s="597"/>
    </row>
    <row r="229">
      <c r="A229" s="13" t="str">
        <f t="shared" si="76"/>
        <v/>
      </c>
      <c r="B229" s="599"/>
      <c r="C229" s="600"/>
      <c r="D229" s="599"/>
      <c r="E229" s="599"/>
      <c r="F229" s="599"/>
      <c r="G229" s="599"/>
      <c r="H229" s="601"/>
      <c r="I229" s="601"/>
      <c r="J229" s="601"/>
      <c r="K229" s="601"/>
      <c r="L229" s="602"/>
      <c r="M229" s="603"/>
      <c r="N229" s="604"/>
      <c r="O229" s="602"/>
      <c r="P229" s="605"/>
      <c r="Q229" s="599"/>
      <c r="R229" s="599"/>
      <c r="S229" s="606"/>
      <c r="T229" s="606"/>
      <c r="U229" s="606"/>
      <c r="V229" s="606"/>
      <c r="W229" s="606"/>
      <c r="X229" s="601"/>
      <c r="Y229" s="606" t="str">
        <f t="shared" si="77"/>
        <v/>
      </c>
      <c r="Z229" s="8"/>
      <c r="AA229" s="32"/>
      <c r="AB229" s="597"/>
      <c r="AC229" s="597"/>
      <c r="AD229" s="598"/>
      <c r="AE229" s="598"/>
      <c r="AF229" s="598"/>
      <c r="AG229" s="597"/>
      <c r="AH229" s="597"/>
    </row>
    <row r="230">
      <c r="A230" s="13" t="str">
        <f t="shared" si="76"/>
        <v/>
      </c>
      <c r="B230" s="599"/>
      <c r="C230" s="600"/>
      <c r="D230" s="599"/>
      <c r="E230" s="599"/>
      <c r="F230" s="599"/>
      <c r="G230" s="599"/>
      <c r="H230" s="601"/>
      <c r="I230" s="601"/>
      <c r="J230" s="601"/>
      <c r="K230" s="601"/>
      <c r="L230" s="602"/>
      <c r="M230" s="603"/>
      <c r="N230" s="604"/>
      <c r="O230" s="602"/>
      <c r="P230" s="605"/>
      <c r="Q230" s="599"/>
      <c r="R230" s="599"/>
      <c r="S230" s="606"/>
      <c r="T230" s="606"/>
      <c r="U230" s="606"/>
      <c r="V230" s="606"/>
      <c r="W230" s="606"/>
      <c r="X230" s="601"/>
      <c r="Y230" s="606" t="str">
        <f t="shared" si="77"/>
        <v/>
      </c>
      <c r="Z230" s="8"/>
      <c r="AA230" s="32"/>
      <c r="AB230" s="597"/>
      <c r="AC230" s="597"/>
      <c r="AD230" s="598"/>
      <c r="AE230" s="598"/>
      <c r="AF230" s="598"/>
      <c r="AG230" s="597"/>
      <c r="AH230" s="597"/>
    </row>
    <row r="231">
      <c r="A231" s="13" t="str">
        <f t="shared" si="76"/>
        <v/>
      </c>
      <c r="B231" s="608"/>
      <c r="D231" s="608"/>
      <c r="E231" s="608"/>
      <c r="F231" s="608"/>
      <c r="G231" s="608"/>
      <c r="H231" s="24"/>
      <c r="I231" s="24"/>
      <c r="J231" s="24"/>
      <c r="K231" s="24"/>
      <c r="L231" s="10"/>
      <c r="M231" s="98"/>
      <c r="N231" s="78"/>
      <c r="O231" s="10"/>
      <c r="P231" s="28"/>
      <c r="Q231" s="101"/>
      <c r="R231" s="101"/>
      <c r="S231" s="213"/>
      <c r="T231" s="213"/>
      <c r="U231" s="213"/>
      <c r="V231" s="213"/>
      <c r="W231" s="213"/>
      <c r="X231" s="24"/>
      <c r="Y231" s="213" t="str">
        <f t="shared" si="77"/>
        <v/>
      </c>
      <c r="Z231" s="8"/>
      <c r="AA231" s="32"/>
      <c r="AB231" s="10"/>
      <c r="AC231" s="10"/>
      <c r="AD231" s="12"/>
      <c r="AE231" s="12"/>
      <c r="AF231" s="12"/>
      <c r="AG231" s="10"/>
      <c r="AH231" s="10"/>
    </row>
    <row r="232">
      <c r="A232" s="13" t="str">
        <f t="shared" si="76"/>
        <v/>
      </c>
      <c r="B232" s="580"/>
      <c r="F232" s="580"/>
      <c r="G232" s="580"/>
      <c r="H232" s="561"/>
      <c r="I232" s="561"/>
      <c r="J232" s="561"/>
      <c r="K232" s="561"/>
      <c r="L232" s="581"/>
      <c r="M232" s="582"/>
      <c r="N232" s="583"/>
      <c r="O232" s="581"/>
      <c r="P232" s="584"/>
      <c r="Q232" s="580"/>
      <c r="R232" s="580"/>
      <c r="S232" s="585"/>
      <c r="T232" s="585"/>
      <c r="U232" s="585"/>
      <c r="V232" s="585"/>
      <c r="W232" s="585"/>
      <c r="X232" s="561"/>
      <c r="Y232" s="585" t="str">
        <f t="shared" si="77"/>
        <v/>
      </c>
      <c r="Z232" s="8"/>
      <c r="AA232" s="32"/>
      <c r="AB232" s="10"/>
      <c r="AC232" s="10"/>
      <c r="AD232" s="12"/>
      <c r="AE232" s="12"/>
      <c r="AF232" s="12"/>
      <c r="AG232" s="10"/>
      <c r="AH232" s="10"/>
    </row>
    <row r="233">
      <c r="A233" s="13" t="str">
        <f t="shared" si="76"/>
        <v/>
      </c>
      <c r="B233" s="24"/>
      <c r="C233" s="24"/>
      <c r="D233" s="588"/>
      <c r="E233" s="588"/>
      <c r="F233" s="588"/>
      <c r="G233" s="221"/>
      <c r="H233" s="595"/>
      <c r="I233" s="26"/>
      <c r="J233" s="24"/>
      <c r="K233" s="24"/>
      <c r="L233" s="10"/>
      <c r="M233" s="98"/>
      <c r="N233" s="78"/>
      <c r="O233" s="10"/>
      <c r="P233" s="28"/>
      <c r="Q233" s="591"/>
      <c r="R233" s="591"/>
      <c r="S233" s="213"/>
      <c r="T233" s="213"/>
      <c r="U233" s="213"/>
      <c r="V233" s="213"/>
      <c r="W233" s="213"/>
      <c r="X233" s="592"/>
      <c r="Y233" s="213" t="str">
        <f t="shared" si="77"/>
        <v/>
      </c>
      <c r="Z233" s="8"/>
      <c r="AA233" s="32"/>
      <c r="AB233" s="10"/>
      <c r="AC233" s="10"/>
      <c r="AD233" s="12"/>
      <c r="AE233" s="12"/>
      <c r="AF233" s="12"/>
      <c r="AG233" s="10"/>
      <c r="AH233" s="10"/>
    </row>
  </sheetData>
  <mergeCells count="12">
    <mergeCell ref="J215:L215"/>
    <mergeCell ref="J216:L216"/>
    <mergeCell ref="J217:L217"/>
    <mergeCell ref="B231:C231"/>
    <mergeCell ref="B232:E232"/>
    <mergeCell ref="B1:G1"/>
    <mergeCell ref="B2:G2"/>
    <mergeCell ref="B3:G3"/>
    <mergeCell ref="M4:N4"/>
    <mergeCell ref="O4:P4"/>
    <mergeCell ref="G214:AH214"/>
    <mergeCell ref="X215:Y215"/>
  </mergeCells>
  <dataValidations>
    <dataValidation type="list" allowBlank="1" sqref="B6:B206">
      <formula1>"01 прихожая,02 санузел родит.,03 спальня,04 санузел,05 кухня-гостиная,06 детская Элина,07 детская Мадина"</formula1>
    </dataValidation>
    <dataValidation type="list" allowBlank="1" sqref="R6">
      <formula1>"Только изделие,Изделие + доставка + монтаж,Работы по устройству отделки,Только отделка,Плитка (без затирки)"</formula1>
    </dataValidation>
    <dataValidation type="list" allowBlank="1" sqref="Q6:Q213">
      <formula1>"Основа,Доп,Перечень для подсчета"</formula1>
    </dataValidation>
    <dataValidation type="list" allowBlank="1" sqref="X6:X213">
      <formula1>"RUB,EUR,USD,GBP"</formula1>
    </dataValidation>
    <dataValidation type="list" allowBlank="1" sqref="R13:R213">
      <formula1>"Только изделие,Изделие + доставка + монтаж,Работы по устройству отделки,Только материал отделки,Плитка (без затирки),Доставка"</formula1>
    </dataValidation>
    <dataValidation type="list" allowBlank="1" sqref="R7:R12">
      <formula1>"Только изделие,Изделие + доставка + монтаж,Работы по устройству отделки,Только материал отделки,Плитка (без затирки),доставка"</formula1>
    </dataValidation>
    <dataValidation type="list" allowBlank="1" sqref="M7:M18 M20:M28 M30:M42 M44:M45">
      <formula1>"5%,10%,15%,20%"</formula1>
    </dataValidation>
    <dataValidation type="list" allowBlank="1" sqref="K6:K206">
      <formula1>"шт,м.кв.,м,м.погон."</formula1>
    </dataValidation>
    <dataValidation type="list" allowBlank="1" sqref="D6:F45">
      <formula1>"пол плитка тип 1: под дерево,пол плитка тип  2: под бетон беж,пол плитка тип 3: под бетон серый,пол паркет,плинтус под покраску,потолок покраска тип 1: белый теплый,потолок покраска тип 2: белый холодный,потолок покраска тип 3: серый,стены штукатурка,стен"&amp;"ы покраска тип 1: серый,стены покраска тип 2: темно-серый,стены покраска тип 3: светло-серый,стены штукатурка (в том числе нанесение штук.на скрытые двери),стены плитка тип 1: под мрамор,стены плитка тип 2: под бетон беж,стены плитка тип 3: под бетон серы"&amp;"й,стены обои тип 1,стены обои тип 2,пол доска,пол доска комплектующие: фанера/клей,пол доска комплектующие: доставка/монтаж,стены художественная роспись,стены обои звездочки,работы по нанесению штукатурки,грунтовка,подоконники"</formula1>
    </dataValidation>
    <dataValidation type="list" allowBlank="1" sqref="AA7:AA45 AA47:AA213">
      <formula1>"0%,5%,7%,10%,12%,15%,20%,25%,30%,40%,50%"</formula1>
    </dataValidation>
  </dataValidations>
  <hyperlinks>
    <hyperlink r:id="rId1" ref="G7"/>
    <hyperlink r:id="rId2" ref="G8"/>
    <hyperlink r:id="rId3" ref="G9"/>
    <hyperlink r:id="rId4" ref="G10"/>
    <hyperlink r:id="rId5" ref="G11"/>
    <hyperlink r:id="rId6" ref="G12"/>
    <hyperlink r:id="rId7" ref="G13"/>
    <hyperlink r:id="rId8" ref="G14"/>
    <hyperlink r:id="rId9" ref="G15"/>
    <hyperlink r:id="rId10" ref="G16"/>
    <hyperlink r:id="rId11" ref="G17"/>
    <hyperlink r:id="rId12" ref="G18"/>
    <hyperlink r:id="rId13" ref="G20"/>
    <hyperlink r:id="rId14" ref="G30"/>
    <hyperlink r:id="rId15" ref="G33"/>
    <hyperlink r:id="rId16" ref="G37"/>
    <hyperlink r:id="rId17" ref="G38"/>
    <hyperlink r:id="rId18" ref="G39"/>
    <hyperlink r:id="rId19" ref="G40"/>
    <hyperlink r:id="rId20" ref="F45"/>
    <hyperlink r:id="rId21" ref="G45"/>
    <hyperlink r:id="rId22" ref="F47"/>
    <hyperlink r:id="rId23" ref="G47"/>
    <hyperlink r:id="rId24" ref="F48"/>
    <hyperlink r:id="rId25" ref="G48"/>
    <hyperlink r:id="rId26" location="131582" ref="F49"/>
    <hyperlink r:id="rId27" location="131582" ref="G49"/>
    <hyperlink r:id="rId28" location="183191" ref="F50"/>
    <hyperlink r:id="rId29" location="183191" ref="G50"/>
    <hyperlink r:id="rId30" location="152726" ref="F51"/>
    <hyperlink r:id="rId31" location="152726" ref="G51"/>
    <hyperlink r:id="rId32" location="152493" ref="F52"/>
    <hyperlink r:id="rId33" location="152493" ref="G52"/>
    <hyperlink r:id="rId34" ref="F53"/>
    <hyperlink r:id="rId35" ref="G53"/>
    <hyperlink r:id="rId36" ref="F54"/>
    <hyperlink r:id="rId37" ref="G54"/>
    <hyperlink r:id="rId38" ref="F55"/>
    <hyperlink r:id="rId39" ref="G55"/>
    <hyperlink r:id="rId40" location="169259" ref="F56"/>
    <hyperlink r:id="rId41" location="169259" ref="G56"/>
    <hyperlink r:id="rId42" ref="F57"/>
    <hyperlink r:id="rId43" ref="G57"/>
    <hyperlink r:id="rId44" ref="F61"/>
    <hyperlink r:id="rId45" ref="G61"/>
    <hyperlink r:id="rId46" ref="F62"/>
    <hyperlink r:id="rId47" ref="G62"/>
    <hyperlink r:id="rId48" ref="F63"/>
    <hyperlink r:id="rId49" ref="G63"/>
    <hyperlink r:id="rId50" ref="F77"/>
    <hyperlink r:id="rId51" ref="G77"/>
    <hyperlink r:id="rId52" ref="F78"/>
    <hyperlink r:id="rId53" ref="G78"/>
    <hyperlink r:id="rId54" ref="F98"/>
    <hyperlink r:id="rId55" ref="G98"/>
    <hyperlink r:id="rId56" ref="F99"/>
    <hyperlink r:id="rId57" ref="G99"/>
    <hyperlink r:id="rId58" ref="F101"/>
    <hyperlink r:id="rId59" ref="G101"/>
    <hyperlink r:id="rId60" location="33838" ref="F102"/>
    <hyperlink r:id="rId61" location="33838" ref="G102"/>
    <hyperlink r:id="rId62" ref="F103"/>
    <hyperlink r:id="rId63" ref="G103"/>
    <hyperlink r:id="rId64" ref="F104"/>
    <hyperlink r:id="rId65" ref="G104"/>
    <hyperlink r:id="rId66" ref="F106"/>
    <hyperlink r:id="rId67" ref="G106"/>
    <hyperlink r:id="rId68" ref="F107"/>
    <hyperlink r:id="rId69" ref="G107"/>
    <hyperlink r:id="rId70" ref="F110"/>
    <hyperlink r:id="rId71" ref="G110"/>
    <hyperlink r:id="rId72" ref="F111"/>
    <hyperlink r:id="rId73" ref="G111"/>
    <hyperlink r:id="rId74" ref="F113"/>
    <hyperlink r:id="rId75" ref="G113"/>
    <hyperlink r:id="rId76" ref="F114"/>
    <hyperlink r:id="rId77" ref="G114"/>
    <hyperlink r:id="rId78" ref="F116"/>
    <hyperlink r:id="rId79" ref="G116"/>
    <hyperlink r:id="rId80" location="33897" ref="F117"/>
    <hyperlink r:id="rId81" ref="G117"/>
    <hyperlink r:id="rId82" ref="F118"/>
    <hyperlink r:id="rId83" ref="G118"/>
    <hyperlink r:id="rId84" ref="F119"/>
    <hyperlink r:id="rId85" ref="G119"/>
    <hyperlink r:id="rId86" ref="F120"/>
    <hyperlink r:id="rId87" ref="G120"/>
    <hyperlink r:id="rId88" ref="F121"/>
    <hyperlink r:id="rId89" ref="G121"/>
    <hyperlink r:id="rId90" ref="F122"/>
    <hyperlink r:id="rId91" ref="G122"/>
    <hyperlink r:id="rId92" ref="F123"/>
    <hyperlink r:id="rId93" ref="G123"/>
    <hyperlink r:id="rId94" location="33865" ref="F124"/>
    <hyperlink r:id="rId95" ref="G124"/>
    <hyperlink r:id="rId96" ref="F125"/>
    <hyperlink r:id="rId97" ref="G125"/>
    <hyperlink r:id="rId98" ref="F126"/>
    <hyperlink r:id="rId99" ref="G126"/>
    <hyperlink r:id="rId100" ref="F128"/>
    <hyperlink r:id="rId101" ref="G128"/>
    <hyperlink r:id="rId102" ref="F129"/>
    <hyperlink r:id="rId103" ref="G129"/>
    <hyperlink r:id="rId104" ref="F130"/>
    <hyperlink r:id="rId105" ref="G130"/>
    <hyperlink r:id="rId106" ref="F131"/>
    <hyperlink r:id="rId107" ref="G131"/>
    <hyperlink r:id="rId108" ref="F132"/>
    <hyperlink r:id="rId109" ref="G132"/>
    <hyperlink r:id="rId110" ref="F133"/>
    <hyperlink r:id="rId111" ref="G133"/>
    <hyperlink r:id="rId112" ref="F135"/>
    <hyperlink r:id="rId113" ref="G135"/>
    <hyperlink r:id="rId114" ref="F136"/>
    <hyperlink r:id="rId115" ref="G136"/>
    <hyperlink r:id="rId116" ref="F138"/>
    <hyperlink r:id="rId117" ref="G138"/>
    <hyperlink r:id="rId118" ref="F139"/>
    <hyperlink r:id="rId119" ref="G139"/>
    <hyperlink r:id="rId120" ref="F140"/>
    <hyperlink r:id="rId121" ref="G140"/>
    <hyperlink r:id="rId122" ref="F141"/>
    <hyperlink r:id="rId123" ref="G141"/>
    <hyperlink r:id="rId124" ref="F142"/>
    <hyperlink r:id="rId125" ref="G142"/>
    <hyperlink r:id="rId126" ref="F143"/>
    <hyperlink r:id="rId127" ref="G143"/>
    <hyperlink r:id="rId128" ref="F144"/>
    <hyperlink r:id="rId129" ref="G144"/>
    <hyperlink r:id="rId130" ref="F145"/>
    <hyperlink r:id="rId131" ref="G145"/>
    <hyperlink r:id="rId132" ref="F146"/>
    <hyperlink r:id="rId133" ref="G146"/>
    <hyperlink r:id="rId134" ref="F147"/>
    <hyperlink r:id="rId135" ref="G147"/>
    <hyperlink r:id="rId136" ref="F148"/>
    <hyperlink r:id="rId137" ref="G148"/>
    <hyperlink r:id="rId138" ref="F149"/>
    <hyperlink r:id="rId139" ref="G149"/>
    <hyperlink r:id="rId140" ref="F151"/>
    <hyperlink r:id="rId141" ref="G151"/>
    <hyperlink r:id="rId142" ref="F152"/>
    <hyperlink r:id="rId143" ref="G152"/>
    <hyperlink r:id="rId144" ref="F153"/>
    <hyperlink r:id="rId145" ref="G153"/>
    <hyperlink r:id="rId146" ref="F155"/>
    <hyperlink r:id="rId147" ref="G155"/>
    <hyperlink r:id="rId148" ref="F156"/>
    <hyperlink r:id="rId149" ref="G156"/>
    <hyperlink r:id="rId150" ref="F158"/>
    <hyperlink r:id="rId151" ref="G158"/>
    <hyperlink r:id="rId152" ref="F159"/>
    <hyperlink r:id="rId153" ref="G159"/>
    <hyperlink r:id="rId154" ref="F161"/>
    <hyperlink r:id="rId155" ref="G161"/>
    <hyperlink r:id="rId156" ref="G163"/>
    <hyperlink r:id="rId157" ref="G164"/>
    <hyperlink r:id="rId158" location="11" ref="G165"/>
    <hyperlink r:id="rId159" location="4" ref="G166"/>
    <hyperlink r:id="rId160" ref="G167"/>
    <hyperlink r:id="rId161" ref="G168"/>
    <hyperlink r:id="rId162" ref="G169"/>
    <hyperlink r:id="rId163" ref="G172"/>
    <hyperlink r:id="rId164" ref="G173"/>
    <hyperlink r:id="rId165" ref="G174"/>
    <hyperlink r:id="rId166" ref="G175"/>
    <hyperlink r:id="rId167" ref="G176"/>
    <hyperlink r:id="rId168" ref="G181"/>
    <hyperlink r:id="rId169" ref="G182"/>
    <hyperlink r:id="rId170" ref="G183"/>
    <hyperlink r:id="rId171" ref="G184"/>
    <hyperlink r:id="rId172" ref="F186"/>
    <hyperlink r:id="rId173" ref="G186"/>
    <hyperlink r:id="rId174" ref="F188"/>
    <hyperlink r:id="rId175" ref="G188"/>
    <hyperlink r:id="rId176" ref="F189"/>
    <hyperlink r:id="rId177" ref="G189"/>
    <hyperlink r:id="rId178" ref="F190"/>
    <hyperlink r:id="rId179" ref="G190"/>
    <hyperlink r:id="rId180" ref="F191"/>
    <hyperlink r:id="rId181" ref="G191"/>
    <hyperlink r:id="rId182" ref="F192"/>
    <hyperlink r:id="rId183" ref="G192"/>
    <hyperlink r:id="rId184" ref="F193"/>
    <hyperlink r:id="rId185" ref="G193"/>
    <hyperlink r:id="rId186" ref="F194"/>
    <hyperlink r:id="rId187" ref="G194"/>
    <hyperlink r:id="rId188" ref="F195"/>
    <hyperlink r:id="rId189" ref="G195"/>
    <hyperlink r:id="rId190" ref="F196"/>
    <hyperlink r:id="rId191" ref="G196"/>
    <hyperlink r:id="rId192" ref="F197"/>
    <hyperlink r:id="rId193" ref="G197"/>
    <hyperlink r:id="rId194" ref="F198"/>
    <hyperlink r:id="rId195" ref="G198"/>
    <hyperlink r:id="rId196" ref="F199"/>
    <hyperlink r:id="rId197" ref="G199"/>
  </hyperlinks>
  <printOptions/>
  <pageMargins bottom="0.75" footer="0.0" header="0.0" left="0.7" right="0.7" top="0.75"/>
  <pageSetup fitToHeight="0" paperSize="8" orientation="landscape"/>
  <drawing r:id="rId198"/>
  <tableParts count="14">
    <tablePart r:id="rId213"/>
    <tablePart r:id="rId214"/>
    <tablePart r:id="rId215"/>
    <tablePart r:id="rId216"/>
    <tablePart r:id="rId217"/>
    <tablePart r:id="rId218"/>
    <tablePart r:id="rId219"/>
    <tablePart r:id="rId220"/>
    <tablePart r:id="rId221"/>
    <tablePart r:id="rId222"/>
    <tablePart r:id="rId223"/>
    <tablePart r:id="rId224"/>
    <tablePart r:id="rId225"/>
    <tablePart r:id="rId22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61.0"/>
  </cols>
  <sheetData>
    <row r="3">
      <c r="A3" s="596" t="s">
        <v>418</v>
      </c>
      <c r="B3" s="596"/>
    </row>
    <row r="4" ht="41.25" customHeight="1">
      <c r="A4" s="599" t="s">
        <v>419</v>
      </c>
      <c r="B4" s="600"/>
    </row>
    <row r="5" ht="54.0" customHeight="1">
      <c r="A5" s="607" t="s">
        <v>420</v>
      </c>
      <c r="B5" s="600"/>
    </row>
    <row r="6" ht="68.25" customHeight="1">
      <c r="A6" s="607" t="s">
        <v>421</v>
      </c>
      <c r="B6" s="600"/>
    </row>
    <row r="7" ht="38.25" customHeight="1">
      <c r="A7" s="599" t="s">
        <v>422</v>
      </c>
      <c r="B7" s="600"/>
    </row>
    <row r="8" ht="40.5" customHeight="1">
      <c r="A8" s="599" t="s">
        <v>423</v>
      </c>
      <c r="B8" s="600"/>
    </row>
    <row r="9" ht="38.25" customHeight="1">
      <c r="A9" s="599" t="s">
        <v>424</v>
      </c>
      <c r="B9" s="600"/>
    </row>
    <row r="10" ht="39.0" customHeight="1">
      <c r="A10" s="599" t="s">
        <v>425</v>
      </c>
      <c r="B10" s="600"/>
    </row>
    <row r="11" ht="69.0" customHeight="1">
      <c r="A11" s="607" t="s">
        <v>426</v>
      </c>
      <c r="B11" s="600"/>
    </row>
    <row r="12" ht="86.25" customHeight="1">
      <c r="A12" s="608" t="s">
        <v>427</v>
      </c>
      <c r="B12" s="608"/>
    </row>
  </sheetData>
  <drawing r:id="rId1"/>
</worksheet>
</file>